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05" windowWidth="20730" windowHeight="11430"/>
  </bookViews>
  <sheets>
    <sheet name="Anexo 1.MAO" sheetId="1" r:id="rId1"/>
    <sheet name="Tablas Resumen" sheetId="13" r:id="rId2"/>
    <sheet name="Hoja1" sheetId="2" state="hidden" r:id="rId3"/>
    <sheet name="RESUMEN INVERSION" sheetId="3" state="hidden" r:id="rId4"/>
    <sheet name="PRESUPUESTO PROYECTOS" sheetId="4" state="hidden" r:id="rId5"/>
    <sheet name="RESUMEN INVERSION MILL" sheetId="5" state="hidden" r:id="rId6"/>
    <sheet name="TUA" sheetId="6" state="hidden" r:id="rId7"/>
    <sheet name="TSE" sheetId="7" state="hidden" r:id="rId8"/>
    <sheet name="TASA RETRIBUTIVA" sheetId="8" state="hidden" r:id="rId9"/>
    <sheet name="PRESUPUESTO POR FUENTES" sheetId="9" state="hidden" r:id="rId10"/>
    <sheet name="PRESUPUESTO GLOBAL" sheetId="10" state="hidden" r:id="rId11"/>
    <sheet name="IND. AUTORIZACIONES AMB" sheetId="11" state="hidden" r:id="rId12"/>
    <sheet name="PRUEBA IND-POMCAS" sheetId="12" state="hidden" r:id="rId13"/>
    <sheet name="Res. 667" sheetId="14" state="hidden" r:id="rId14"/>
  </sheets>
  <definedNames>
    <definedName name="_xlnm.Print_Area" localSheetId="0">'Anexo 1.MAO'!$E$4:$CJ$193</definedName>
    <definedName name="_xlnm.Print_Area" localSheetId="4">'PRESUPUESTO PROYECTOS'!$A$3:$O$156</definedName>
    <definedName name="_xlnm.Print_Titles" localSheetId="0">'Anexo 1.MAO'!$4:$5</definedName>
    <definedName name="_xlnm.Print_Titles" localSheetId="4">'PRESUPUESTO PROYECTOS'!$3:$4</definedName>
  </definedNames>
  <calcPr calcId="144525"/>
</workbook>
</file>

<file path=xl/calcChain.xml><?xml version="1.0" encoding="utf-8"?>
<calcChain xmlns="http://schemas.openxmlformats.org/spreadsheetml/2006/main">
  <c r="N90" i="13" l="1"/>
  <c r="S112" i="13" l="1"/>
  <c r="S111" i="13"/>
  <c r="S110" i="13"/>
  <c r="S109" i="13"/>
  <c r="S108" i="13"/>
  <c r="S107" i="13"/>
  <c r="S106" i="13"/>
  <c r="S105" i="13"/>
  <c r="S113" i="13" s="1"/>
  <c r="I40" i="13"/>
  <c r="I10" i="13"/>
  <c r="I45" i="13"/>
  <c r="AK166" i="1"/>
  <c r="AK133" i="1"/>
  <c r="AK47" i="1"/>
  <c r="AK6" i="1"/>
  <c r="AJ121" i="1"/>
  <c r="AK121" i="1"/>
  <c r="AJ74" i="1" l="1"/>
  <c r="AK65" i="1" l="1"/>
  <c r="AJ50" i="1"/>
  <c r="AI53" i="1" l="1"/>
  <c r="AK51" i="1"/>
  <c r="AJ42" i="1"/>
  <c r="AJ38" i="1"/>
  <c r="AK38" i="1" s="1"/>
  <c r="AJ37" i="1"/>
  <c r="AJ29" i="1"/>
  <c r="AJ27" i="1"/>
  <c r="AJ11" i="1"/>
  <c r="AF183" i="1" l="1"/>
  <c r="AC185" i="1"/>
  <c r="AF185" i="1"/>
  <c r="AD173" i="1"/>
  <c r="AD129" i="1"/>
  <c r="L81" i="13" l="1"/>
  <c r="M81" i="13" s="1"/>
  <c r="O79" i="13"/>
  <c r="O78" i="13"/>
  <c r="AD147" i="1"/>
  <c r="AD78" i="1" l="1"/>
  <c r="J59" i="13"/>
  <c r="N53" i="13" l="1"/>
  <c r="N49" i="13"/>
  <c r="AF134" i="1" l="1"/>
  <c r="AF9" i="1"/>
  <c r="H8" i="13" s="1"/>
  <c r="N52" i="13" s="1"/>
  <c r="H32" i="13" l="1"/>
  <c r="N76" i="13" s="1"/>
  <c r="AF48" i="1"/>
  <c r="AF39" i="1"/>
  <c r="H15" i="13" s="1"/>
  <c r="N59" i="13" s="1"/>
  <c r="AF28" i="1"/>
  <c r="H13" i="13" s="1"/>
  <c r="N57" i="13" s="1"/>
  <c r="AF178" i="1"/>
  <c r="H43" i="13" s="1"/>
  <c r="N87" i="13" s="1"/>
  <c r="AF171" i="1"/>
  <c r="AF166" i="1"/>
  <c r="H40" i="13" s="1"/>
  <c r="N84" i="13" s="1"/>
  <c r="AF162" i="1"/>
  <c r="H39" i="13" s="1"/>
  <c r="N83" i="13" s="1"/>
  <c r="AF157" i="1"/>
  <c r="H38" i="13" s="1"/>
  <c r="N82" i="13" s="1"/>
  <c r="AF154" i="1"/>
  <c r="H37" i="13" s="1"/>
  <c r="N81" i="13" s="1"/>
  <c r="AF148" i="1"/>
  <c r="H35" i="13" s="1"/>
  <c r="N79" i="13" s="1"/>
  <c r="AF144" i="1"/>
  <c r="H34" i="13" s="1"/>
  <c r="N78" i="13" s="1"/>
  <c r="AF140" i="1"/>
  <c r="H33" i="13" s="1"/>
  <c r="N77" i="13" s="1"/>
  <c r="AF131" i="1"/>
  <c r="H30" i="13" s="1"/>
  <c r="N74" i="13" s="1"/>
  <c r="H29" i="13"/>
  <c r="N73" i="13" s="1"/>
  <c r="AF113" i="1"/>
  <c r="H28" i="13" s="1"/>
  <c r="N72" i="13" s="1"/>
  <c r="AF106" i="1"/>
  <c r="AF94" i="1"/>
  <c r="H25" i="13" s="1"/>
  <c r="N69" i="13" s="1"/>
  <c r="AF87" i="1"/>
  <c r="H24" i="13" s="1"/>
  <c r="N68" i="13" s="1"/>
  <c r="AF78" i="1"/>
  <c r="AF75" i="1"/>
  <c r="H21" i="13" s="1"/>
  <c r="N65" i="13" s="1"/>
  <c r="AF70" i="1"/>
  <c r="H20" i="13" s="1"/>
  <c r="N64" i="13" s="1"/>
  <c r="AF62" i="1"/>
  <c r="H19" i="13" s="1"/>
  <c r="N63" i="13" s="1"/>
  <c r="AF57" i="1"/>
  <c r="H18" i="13" s="1"/>
  <c r="N62" i="13" s="1"/>
  <c r="AF34" i="1"/>
  <c r="H14" i="13" s="1"/>
  <c r="N58" i="13" s="1"/>
  <c r="AF21" i="1"/>
  <c r="AF17" i="1"/>
  <c r="H10" i="13" s="1"/>
  <c r="N54" i="13" s="1"/>
  <c r="AF7" i="1"/>
  <c r="H7" i="13" s="1"/>
  <c r="N51" i="13" s="1"/>
  <c r="AF6" i="1" l="1"/>
  <c r="H6" i="13" s="1"/>
  <c r="N50" i="13" s="1"/>
  <c r="V105" i="13" s="1"/>
  <c r="AF77" i="1"/>
  <c r="H22" i="13" s="1"/>
  <c r="N66" i="13" s="1"/>
  <c r="V108" i="13" s="1"/>
  <c r="H23" i="13"/>
  <c r="N67" i="13" s="1"/>
  <c r="AF170" i="1"/>
  <c r="H41" i="13" s="1"/>
  <c r="N85" i="13" s="1"/>
  <c r="V111" i="13" s="1"/>
  <c r="H42" i="13"/>
  <c r="N86" i="13" s="1"/>
  <c r="H27" i="13"/>
  <c r="N71" i="13" s="1"/>
  <c r="AF105" i="1"/>
  <c r="H26" i="13" s="1"/>
  <c r="N70" i="13" s="1"/>
  <c r="V109" i="13" s="1"/>
  <c r="H17" i="13"/>
  <c r="N61" i="13" s="1"/>
  <c r="AF47" i="1"/>
  <c r="H16" i="13" s="1"/>
  <c r="N60" i="13" s="1"/>
  <c r="V107" i="13" s="1"/>
  <c r="AF20" i="1"/>
  <c r="H11" i="13" s="1"/>
  <c r="N55" i="13" s="1"/>
  <c r="V106" i="13" s="1"/>
  <c r="H12" i="13"/>
  <c r="N56" i="13" s="1"/>
  <c r="AJ166" i="1" l="1"/>
  <c r="AF184" i="1" l="1"/>
  <c r="AJ149" i="1"/>
  <c r="AJ145" i="1"/>
  <c r="H45" i="13" l="1"/>
  <c r="N89" i="13" s="1"/>
  <c r="H44" i="13"/>
  <c r="N88" i="13" s="1"/>
  <c r="V112" i="13" s="1"/>
  <c r="AD174" i="1"/>
  <c r="AJ172" i="1"/>
  <c r="AJ90" i="1" l="1"/>
  <c r="AJ89" i="1"/>
  <c r="AJ88" i="1"/>
  <c r="AK88" i="1" s="1"/>
  <c r="AJ85" i="1"/>
  <c r="AJ81" i="1" l="1"/>
  <c r="AJ76" i="1"/>
  <c r="DA76" i="1"/>
  <c r="AJ55" i="1"/>
  <c r="DB52" i="1"/>
  <c r="DA53" i="1"/>
  <c r="AD53" i="1"/>
  <c r="AJ51" i="1"/>
  <c r="AD51" i="1"/>
  <c r="DA51" i="1"/>
  <c r="AJ26" i="1"/>
  <c r="AJ22" i="1"/>
  <c r="DB65" i="1" l="1"/>
  <c r="AJ72" i="1"/>
  <c r="AJ71" i="1"/>
  <c r="AJ65" i="1"/>
  <c r="AJ64" i="1" l="1"/>
  <c r="AJ63" i="1"/>
  <c r="AK63" i="1" s="1"/>
  <c r="AJ58" i="1" l="1"/>
  <c r="AJ31" i="1" l="1"/>
  <c r="AK29" i="1"/>
  <c r="AD11" i="1"/>
  <c r="AD180" i="1" l="1"/>
  <c r="AJ179" i="1"/>
  <c r="DB133" i="1"/>
  <c r="DB132" i="1"/>
  <c r="AK43" i="1" l="1"/>
  <c r="AJ43" i="1"/>
  <c r="AJ40" i="1"/>
  <c r="AK142" i="1" l="1"/>
  <c r="AK141" i="1"/>
  <c r="AK137" i="1"/>
  <c r="AJ136" i="1" l="1"/>
  <c r="I36" i="14" l="1"/>
  <c r="I32" i="14"/>
  <c r="I21" i="14"/>
  <c r="I16" i="14"/>
  <c r="I10" i="14"/>
  <c r="I5" i="14"/>
  <c r="G18" i="12"/>
  <c r="G17" i="12"/>
  <c r="G16" i="12"/>
  <c r="G15" i="12"/>
  <c r="G14" i="12"/>
  <c r="G13" i="12"/>
  <c r="G12" i="12"/>
  <c r="G11" i="12"/>
  <c r="D112" i="10"/>
  <c r="D104" i="10"/>
  <c r="D101" i="10" s="1"/>
  <c r="D100" i="10" s="1"/>
  <c r="D96" i="10"/>
  <c r="D93" i="10"/>
  <c r="D91" i="10"/>
  <c r="D90" i="10" s="1"/>
  <c r="D85" i="10"/>
  <c r="D84" i="10"/>
  <c r="D82" i="10"/>
  <c r="D78" i="10"/>
  <c r="D77" i="10" s="1"/>
  <c r="D72" i="10"/>
  <c r="D67" i="10"/>
  <c r="D66" i="10" s="1"/>
  <c r="D63" i="10"/>
  <c r="D62" i="10" s="1"/>
  <c r="D53" i="10"/>
  <c r="D50" i="10"/>
  <c r="D45" i="10"/>
  <c r="D44" i="10" s="1"/>
  <c r="D42" i="10"/>
  <c r="D40" i="10"/>
  <c r="D36" i="10"/>
  <c r="D33" i="10"/>
  <c r="D29" i="10"/>
  <c r="D22" i="10"/>
  <c r="D17" i="10"/>
  <c r="D16" i="10" s="1"/>
  <c r="D13" i="10"/>
  <c r="D9" i="10"/>
  <c r="D6" i="10"/>
  <c r="D5" i="10" s="1"/>
  <c r="Q138" i="9"/>
  <c r="Q135" i="9"/>
  <c r="G135" i="9"/>
  <c r="Q134" i="9"/>
  <c r="Q133" i="9" s="1"/>
  <c r="G134" i="9"/>
  <c r="R134" i="9" s="1"/>
  <c r="P133" i="9"/>
  <c r="O133" i="9"/>
  <c r="N133" i="9"/>
  <c r="M133" i="9"/>
  <c r="L133" i="9"/>
  <c r="K133" i="9"/>
  <c r="J133" i="9"/>
  <c r="I133" i="9"/>
  <c r="H133" i="9"/>
  <c r="F133" i="9"/>
  <c r="E133" i="9"/>
  <c r="E121" i="9" s="1"/>
  <c r="D133" i="9"/>
  <c r="Q132" i="9"/>
  <c r="G132" i="9"/>
  <c r="Q131" i="9"/>
  <c r="G131" i="9"/>
  <c r="R131" i="9" s="1"/>
  <c r="Q130" i="9"/>
  <c r="G130" i="9"/>
  <c r="Q129" i="9"/>
  <c r="G129" i="9"/>
  <c r="Q128" i="9"/>
  <c r="G128" i="9"/>
  <c r="Q127" i="9"/>
  <c r="G127" i="9"/>
  <c r="R127" i="9" s="1"/>
  <c r="Q126" i="9"/>
  <c r="Q125" i="9" s="1"/>
  <c r="Q122" i="9" s="1"/>
  <c r="G126" i="9"/>
  <c r="P125" i="9"/>
  <c r="P122" i="9" s="1"/>
  <c r="P121" i="9" s="1"/>
  <c r="O125" i="9"/>
  <c r="N125" i="9"/>
  <c r="N122" i="9" s="1"/>
  <c r="N121" i="9" s="1"/>
  <c r="M125" i="9"/>
  <c r="L125" i="9"/>
  <c r="K125" i="9"/>
  <c r="K122" i="9" s="1"/>
  <c r="K121" i="9" s="1"/>
  <c r="J125" i="9"/>
  <c r="J122" i="9" s="1"/>
  <c r="J121" i="9" s="1"/>
  <c r="I125" i="9"/>
  <c r="H125" i="9"/>
  <c r="H122" i="9" s="1"/>
  <c r="H121" i="9" s="1"/>
  <c r="E125" i="9"/>
  <c r="D125" i="9"/>
  <c r="G125" i="9" s="1"/>
  <c r="Q124" i="9"/>
  <c r="G124" i="9"/>
  <c r="R124" i="9" s="1"/>
  <c r="Q123" i="9"/>
  <c r="G123" i="9"/>
  <c r="R123" i="9" s="1"/>
  <c r="O122" i="9"/>
  <c r="O121" i="9" s="1"/>
  <c r="M122" i="9"/>
  <c r="L122" i="9"/>
  <c r="I122" i="9"/>
  <c r="F122" i="9"/>
  <c r="F121" i="9" s="1"/>
  <c r="E122" i="9"/>
  <c r="D122" i="9"/>
  <c r="D121" i="9" s="1"/>
  <c r="M121" i="9"/>
  <c r="I121" i="9"/>
  <c r="Q120" i="9"/>
  <c r="G120" i="9"/>
  <c r="R120" i="9" s="1"/>
  <c r="Q119" i="9"/>
  <c r="G119" i="9"/>
  <c r="Q118" i="9"/>
  <c r="Q117" i="9" s="1"/>
  <c r="G118" i="9"/>
  <c r="P117" i="9"/>
  <c r="O117" i="9"/>
  <c r="N117" i="9"/>
  <c r="M117" i="9"/>
  <c r="L117" i="9"/>
  <c r="K117" i="9"/>
  <c r="J117" i="9"/>
  <c r="I117" i="9"/>
  <c r="H117" i="9"/>
  <c r="F117" i="9"/>
  <c r="E117" i="9"/>
  <c r="D117" i="9"/>
  <c r="G117" i="9" s="1"/>
  <c r="Q116" i="9"/>
  <c r="G116" i="9"/>
  <c r="Q115" i="9"/>
  <c r="Q114" i="9" s="1"/>
  <c r="G115" i="9"/>
  <c r="R115" i="9" s="1"/>
  <c r="P114" i="9"/>
  <c r="O114" i="9"/>
  <c r="N114" i="9"/>
  <c r="N111" i="9" s="1"/>
  <c r="M114" i="9"/>
  <c r="L114" i="9"/>
  <c r="K114" i="9"/>
  <c r="J114" i="9"/>
  <c r="I114" i="9"/>
  <c r="H114" i="9"/>
  <c r="F114" i="9"/>
  <c r="E114" i="9"/>
  <c r="E111" i="9" s="1"/>
  <c r="D114" i="9"/>
  <c r="Q113" i="9"/>
  <c r="Q112" i="9" s="1"/>
  <c r="Q111" i="9" s="1"/>
  <c r="G113" i="9"/>
  <c r="R113" i="9" s="1"/>
  <c r="P112" i="9"/>
  <c r="P111" i="9" s="1"/>
  <c r="O112" i="9"/>
  <c r="N112" i="9"/>
  <c r="M112" i="9"/>
  <c r="L112" i="9"/>
  <c r="L111" i="9" s="1"/>
  <c r="K112" i="9"/>
  <c r="J112" i="9"/>
  <c r="J111" i="9" s="1"/>
  <c r="I112" i="9"/>
  <c r="H112" i="9"/>
  <c r="H111" i="9" s="1"/>
  <c r="F112" i="9"/>
  <c r="E112" i="9"/>
  <c r="D112" i="9"/>
  <c r="G112" i="9" s="1"/>
  <c r="O111" i="9"/>
  <c r="K111" i="9"/>
  <c r="F111" i="9"/>
  <c r="Q110" i="9"/>
  <c r="G110" i="9"/>
  <c r="R110" i="9" s="1"/>
  <c r="Q109" i="9"/>
  <c r="G109" i="9"/>
  <c r="Q108" i="9"/>
  <c r="G108" i="9"/>
  <c r="Q107" i="9"/>
  <c r="G107" i="9"/>
  <c r="P106" i="9"/>
  <c r="P105" i="9" s="1"/>
  <c r="O106" i="9"/>
  <c r="O105" i="9" s="1"/>
  <c r="N106" i="9"/>
  <c r="N105" i="9" s="1"/>
  <c r="M106" i="9"/>
  <c r="L106" i="9"/>
  <c r="L105" i="9" s="1"/>
  <c r="K106" i="9"/>
  <c r="J106" i="9"/>
  <c r="J105" i="9" s="1"/>
  <c r="I106" i="9"/>
  <c r="H106" i="9"/>
  <c r="H105" i="9" s="1"/>
  <c r="F106" i="9"/>
  <c r="F105" i="9" s="1"/>
  <c r="E106" i="9"/>
  <c r="E105" i="9" s="1"/>
  <c r="D106" i="9"/>
  <c r="M105" i="9"/>
  <c r="K105" i="9"/>
  <c r="I105" i="9"/>
  <c r="Q104" i="9"/>
  <c r="Q103" i="9" s="1"/>
  <c r="G104" i="9"/>
  <c r="R104" i="9" s="1"/>
  <c r="P103" i="9"/>
  <c r="O103" i="9"/>
  <c r="N103" i="9"/>
  <c r="M103" i="9"/>
  <c r="L103" i="9"/>
  <c r="K103" i="9"/>
  <c r="J103" i="9"/>
  <c r="I103" i="9"/>
  <c r="H103" i="9"/>
  <c r="F103" i="9"/>
  <c r="F98" i="9" s="1"/>
  <c r="E103" i="9"/>
  <c r="D103" i="9"/>
  <c r="Q102" i="9"/>
  <c r="G102" i="9"/>
  <c r="R102" i="9" s="1"/>
  <c r="Q101" i="9"/>
  <c r="G101" i="9"/>
  <c r="Q100" i="9"/>
  <c r="Q99" i="9" s="1"/>
  <c r="G100" i="9"/>
  <c r="R100" i="9" s="1"/>
  <c r="P99" i="9"/>
  <c r="P98" i="9" s="1"/>
  <c r="O99" i="9"/>
  <c r="N99" i="9"/>
  <c r="M99" i="9"/>
  <c r="L99" i="9"/>
  <c r="K99" i="9"/>
  <c r="J99" i="9"/>
  <c r="I99" i="9"/>
  <c r="I98" i="9" s="1"/>
  <c r="H99" i="9"/>
  <c r="H98" i="9" s="1"/>
  <c r="F99" i="9"/>
  <c r="E99" i="9"/>
  <c r="D99" i="9"/>
  <c r="L98" i="9"/>
  <c r="J98" i="9"/>
  <c r="Q97" i="9"/>
  <c r="G97" i="9"/>
  <c r="Q96" i="9"/>
  <c r="G96" i="9"/>
  <c r="R96" i="9" s="1"/>
  <c r="Q95" i="9"/>
  <c r="G95" i="9"/>
  <c r="Q94" i="9"/>
  <c r="Q93" i="9" s="1"/>
  <c r="G94" i="9"/>
  <c r="P93" i="9"/>
  <c r="O93" i="9"/>
  <c r="N93" i="9"/>
  <c r="M93" i="9"/>
  <c r="L93" i="9"/>
  <c r="K93" i="9"/>
  <c r="J93" i="9"/>
  <c r="I93" i="9"/>
  <c r="H93" i="9"/>
  <c r="F93" i="9"/>
  <c r="E93" i="9"/>
  <c r="D93" i="9"/>
  <c r="Q89" i="9"/>
  <c r="Q88" i="9" s="1"/>
  <c r="G89" i="9"/>
  <c r="P88" i="9"/>
  <c r="P87" i="9" s="1"/>
  <c r="O88" i="9"/>
  <c r="O87" i="9" s="1"/>
  <c r="N88" i="9"/>
  <c r="M88" i="9"/>
  <c r="L88" i="9"/>
  <c r="K88" i="9"/>
  <c r="J88" i="9"/>
  <c r="J87" i="9" s="1"/>
  <c r="I88" i="9"/>
  <c r="H88" i="9"/>
  <c r="F88" i="9"/>
  <c r="E88" i="9"/>
  <c r="D88" i="9"/>
  <c r="D87" i="9" s="1"/>
  <c r="H87" i="9"/>
  <c r="F87" i="9"/>
  <c r="Q86" i="9"/>
  <c r="G86" i="9"/>
  <c r="Q85" i="9"/>
  <c r="Q84" i="9" s="1"/>
  <c r="Q83" i="9" s="1"/>
  <c r="G85" i="9"/>
  <c r="P84" i="9"/>
  <c r="P83" i="9" s="1"/>
  <c r="O84" i="9"/>
  <c r="O83" i="9" s="1"/>
  <c r="N84" i="9"/>
  <c r="N83" i="9" s="1"/>
  <c r="M84" i="9"/>
  <c r="M83" i="9" s="1"/>
  <c r="L84" i="9"/>
  <c r="L83" i="9" s="1"/>
  <c r="K84" i="9"/>
  <c r="K83" i="9" s="1"/>
  <c r="J84" i="9"/>
  <c r="I84" i="9"/>
  <c r="I83" i="9" s="1"/>
  <c r="H84" i="9"/>
  <c r="H83" i="9" s="1"/>
  <c r="F84" i="9"/>
  <c r="F83" i="9" s="1"/>
  <c r="E84" i="9"/>
  <c r="D84" i="9"/>
  <c r="D83" i="9" s="1"/>
  <c r="J83" i="9"/>
  <c r="Q82" i="9"/>
  <c r="G82" i="9"/>
  <c r="Q81" i="9"/>
  <c r="G81" i="9"/>
  <c r="Q80" i="9"/>
  <c r="G80" i="9"/>
  <c r="R80" i="9" s="1"/>
  <c r="Q79" i="9"/>
  <c r="G79" i="9"/>
  <c r="Q78" i="9"/>
  <c r="G78" i="9"/>
  <c r="Q77" i="9"/>
  <c r="G77" i="9"/>
  <c r="Q76" i="9"/>
  <c r="G76" i="9"/>
  <c r="Q75" i="9"/>
  <c r="G75" i="9"/>
  <c r="P74" i="9"/>
  <c r="O74" i="9"/>
  <c r="N74" i="9"/>
  <c r="M74" i="9"/>
  <c r="L74" i="9"/>
  <c r="K74" i="9"/>
  <c r="J74" i="9"/>
  <c r="I74" i="9"/>
  <c r="H74" i="9"/>
  <c r="F74" i="9"/>
  <c r="E74" i="9"/>
  <c r="D74" i="9"/>
  <c r="Q73" i="9"/>
  <c r="G73" i="9"/>
  <c r="R73" i="9" s="1"/>
  <c r="Q72" i="9"/>
  <c r="G72" i="9"/>
  <c r="P71" i="9"/>
  <c r="P65" i="9" s="1"/>
  <c r="O71" i="9"/>
  <c r="N71" i="9"/>
  <c r="M71" i="9"/>
  <c r="L71" i="9"/>
  <c r="K71" i="9"/>
  <c r="J71" i="9"/>
  <c r="I71" i="9"/>
  <c r="H71" i="9"/>
  <c r="H65" i="9" s="1"/>
  <c r="F71" i="9"/>
  <c r="F65" i="9" s="1"/>
  <c r="E71" i="9"/>
  <c r="D71" i="9"/>
  <c r="Q70" i="9"/>
  <c r="G70" i="9"/>
  <c r="R70" i="9" s="1"/>
  <c r="Q69" i="9"/>
  <c r="G69" i="9"/>
  <c r="Q68" i="9"/>
  <c r="G68" i="9"/>
  <c r="Q67" i="9"/>
  <c r="Q66" i="9" s="1"/>
  <c r="G67" i="9"/>
  <c r="P66" i="9"/>
  <c r="O66" i="9"/>
  <c r="N66" i="9"/>
  <c r="M66" i="9"/>
  <c r="M65" i="9" s="1"/>
  <c r="L66" i="9"/>
  <c r="L65" i="9" s="1"/>
  <c r="K66" i="9"/>
  <c r="J66" i="9"/>
  <c r="I66" i="9"/>
  <c r="H66" i="9"/>
  <c r="F66" i="9"/>
  <c r="E66" i="9"/>
  <c r="D66" i="9"/>
  <c r="D65" i="9" s="1"/>
  <c r="N65" i="9"/>
  <c r="J65" i="9"/>
  <c r="Q64" i="9"/>
  <c r="Q63" i="9" s="1"/>
  <c r="G64" i="9"/>
  <c r="R64" i="9" s="1"/>
  <c r="P63" i="9"/>
  <c r="O63" i="9"/>
  <c r="N63" i="9"/>
  <c r="M63" i="9"/>
  <c r="L63" i="9"/>
  <c r="K63" i="9"/>
  <c r="J63" i="9"/>
  <c r="I63" i="9"/>
  <c r="H63" i="9"/>
  <c r="F63" i="9"/>
  <c r="E63" i="9"/>
  <c r="D63" i="9"/>
  <c r="Q62" i="9"/>
  <c r="Q61" i="9" s="1"/>
  <c r="G62" i="9"/>
  <c r="P61" i="9"/>
  <c r="O61" i="9"/>
  <c r="N61" i="9"/>
  <c r="M61" i="9"/>
  <c r="L61" i="9"/>
  <c r="K61" i="9"/>
  <c r="J61" i="9"/>
  <c r="I61" i="9"/>
  <c r="H61" i="9"/>
  <c r="F61" i="9"/>
  <c r="E61" i="9"/>
  <c r="D61" i="9"/>
  <c r="G60" i="9"/>
  <c r="G59" i="9"/>
  <c r="Q58" i="9"/>
  <c r="Q57" i="9" s="1"/>
  <c r="G58" i="9"/>
  <c r="P57" i="9"/>
  <c r="O57" i="9"/>
  <c r="N57" i="9"/>
  <c r="M57" i="9"/>
  <c r="L57" i="9"/>
  <c r="K57" i="9"/>
  <c r="K42" i="9" s="1"/>
  <c r="J57" i="9"/>
  <c r="I57" i="9"/>
  <c r="H57" i="9"/>
  <c r="F57" i="9"/>
  <c r="E57" i="9"/>
  <c r="D57" i="9"/>
  <c r="Q56" i="9"/>
  <c r="G56" i="9"/>
  <c r="R56" i="9" s="1"/>
  <c r="Q55" i="9"/>
  <c r="Q54" i="9" s="1"/>
  <c r="G55" i="9"/>
  <c r="P54" i="9"/>
  <c r="O54" i="9"/>
  <c r="N54" i="9"/>
  <c r="M54" i="9"/>
  <c r="L54" i="9"/>
  <c r="K54" i="9"/>
  <c r="J54" i="9"/>
  <c r="I54" i="9"/>
  <c r="H54" i="9"/>
  <c r="F54" i="9"/>
  <c r="E54" i="9"/>
  <c r="D54" i="9"/>
  <c r="G53" i="9"/>
  <c r="G52" i="9"/>
  <c r="Q51" i="9"/>
  <c r="Q50" i="9" s="1"/>
  <c r="G51" i="9"/>
  <c r="P50" i="9"/>
  <c r="O50" i="9"/>
  <c r="N50" i="9"/>
  <c r="M50" i="9"/>
  <c r="L50" i="9"/>
  <c r="K50" i="9"/>
  <c r="J50" i="9"/>
  <c r="I50" i="9"/>
  <c r="H50" i="9"/>
  <c r="F50" i="9"/>
  <c r="E50" i="9"/>
  <c r="D50" i="9"/>
  <c r="Q49" i="9"/>
  <c r="G49" i="9"/>
  <c r="Q48" i="9"/>
  <c r="G48" i="9"/>
  <c r="Q47" i="9"/>
  <c r="G47" i="9"/>
  <c r="Q46" i="9"/>
  <c r="G46" i="9"/>
  <c r="R46" i="9" s="1"/>
  <c r="Q45" i="9"/>
  <c r="G45" i="9"/>
  <c r="Q44" i="9"/>
  <c r="G44" i="9"/>
  <c r="P43" i="9"/>
  <c r="O43" i="9"/>
  <c r="N43" i="9"/>
  <c r="M43" i="9"/>
  <c r="M42" i="9" s="1"/>
  <c r="L43" i="9"/>
  <c r="K43" i="9"/>
  <c r="J43" i="9"/>
  <c r="J42" i="9" s="1"/>
  <c r="I43" i="9"/>
  <c r="H43" i="9"/>
  <c r="F43" i="9"/>
  <c r="E43" i="9"/>
  <c r="D43" i="9"/>
  <c r="G43" i="9" s="1"/>
  <c r="I42" i="9"/>
  <c r="Q41" i="9"/>
  <c r="G41" i="9"/>
  <c r="R41" i="9" s="1"/>
  <c r="Q40" i="9"/>
  <c r="G40" i="9"/>
  <c r="Q39" i="9"/>
  <c r="G39" i="9"/>
  <c r="P38" i="9"/>
  <c r="P37" i="9" s="1"/>
  <c r="O38" i="9"/>
  <c r="N38" i="9"/>
  <c r="M38" i="9"/>
  <c r="M37" i="9" s="1"/>
  <c r="L38" i="9"/>
  <c r="L37" i="9" s="1"/>
  <c r="K38" i="9"/>
  <c r="J38" i="9"/>
  <c r="I38" i="9"/>
  <c r="I37" i="9" s="1"/>
  <c r="H38" i="9"/>
  <c r="H37" i="9" s="1"/>
  <c r="F38" i="9"/>
  <c r="D38" i="9"/>
  <c r="O37" i="9"/>
  <c r="N37" i="9"/>
  <c r="K37" i="9"/>
  <c r="J37" i="9"/>
  <c r="F37" i="9"/>
  <c r="D37" i="9"/>
  <c r="Q36" i="9"/>
  <c r="G36" i="9"/>
  <c r="R36" i="9" s="1"/>
  <c r="Q35" i="9"/>
  <c r="Q34" i="9" s="1"/>
  <c r="G35" i="9"/>
  <c r="P34" i="9"/>
  <c r="O34" i="9"/>
  <c r="N34" i="9"/>
  <c r="N26" i="9" s="1"/>
  <c r="M34" i="9"/>
  <c r="L34" i="9"/>
  <c r="K34" i="9"/>
  <c r="J34" i="9"/>
  <c r="I34" i="9"/>
  <c r="H34" i="9"/>
  <c r="F34" i="9"/>
  <c r="D34" i="9"/>
  <c r="Q33" i="9"/>
  <c r="Q30" i="9" s="1"/>
  <c r="G33" i="9"/>
  <c r="Q32" i="9"/>
  <c r="G32" i="9"/>
  <c r="R32" i="9" s="1"/>
  <c r="Q31" i="9"/>
  <c r="G31" i="9"/>
  <c r="P30" i="9"/>
  <c r="O30" i="9"/>
  <c r="N30" i="9"/>
  <c r="M30" i="9"/>
  <c r="L30" i="9"/>
  <c r="K30" i="9"/>
  <c r="J30" i="9"/>
  <c r="I30" i="9"/>
  <c r="H30" i="9"/>
  <c r="F30" i="9"/>
  <c r="D30" i="9"/>
  <c r="Q29" i="9"/>
  <c r="G29" i="9"/>
  <c r="R29" i="9" s="1"/>
  <c r="Q28" i="9"/>
  <c r="G28" i="9"/>
  <c r="Q27" i="9"/>
  <c r="P27" i="9"/>
  <c r="O27" i="9"/>
  <c r="O26" i="9" s="1"/>
  <c r="N27" i="9"/>
  <c r="M27" i="9"/>
  <c r="L27" i="9"/>
  <c r="L26" i="9" s="1"/>
  <c r="K27" i="9"/>
  <c r="J27" i="9"/>
  <c r="I27" i="9"/>
  <c r="I26" i="9" s="1"/>
  <c r="H27" i="9"/>
  <c r="F27" i="9"/>
  <c r="F26" i="9" s="1"/>
  <c r="D27" i="9"/>
  <c r="K26" i="9"/>
  <c r="N22" i="9"/>
  <c r="G21" i="9"/>
  <c r="R21" i="9" s="1"/>
  <c r="Q20" i="9"/>
  <c r="R20" i="9" s="1"/>
  <c r="G20" i="9"/>
  <c r="G19" i="9" s="1"/>
  <c r="G18" i="9" s="1"/>
  <c r="M19" i="9"/>
  <c r="M18" i="9" s="1"/>
  <c r="I19" i="9"/>
  <c r="D19" i="9"/>
  <c r="I18" i="9"/>
  <c r="D18" i="9"/>
  <c r="Q17" i="9"/>
  <c r="R17" i="9" s="1"/>
  <c r="Q16" i="9"/>
  <c r="R16" i="9" s="1"/>
  <c r="G16" i="9"/>
  <c r="G15" i="9" s="1"/>
  <c r="I15" i="9"/>
  <c r="Q15" i="9" s="1"/>
  <c r="F15" i="9"/>
  <c r="D15" i="9"/>
  <c r="Q14" i="9"/>
  <c r="R14" i="9" s="1"/>
  <c r="G14" i="9"/>
  <c r="M13" i="9"/>
  <c r="L13" i="9"/>
  <c r="L11" i="9" s="1"/>
  <c r="L10" i="9" s="1"/>
  <c r="L22" i="9" s="1"/>
  <c r="K13" i="9"/>
  <c r="J13" i="9"/>
  <c r="G13" i="9"/>
  <c r="Q12" i="9"/>
  <c r="R12" i="9" s="1"/>
  <c r="G12" i="9"/>
  <c r="P11" i="9"/>
  <c r="P10" i="9" s="1"/>
  <c r="O11" i="9"/>
  <c r="O10" i="9" s="1"/>
  <c r="O22" i="9" s="1"/>
  <c r="M11" i="9"/>
  <c r="K11" i="9"/>
  <c r="K10" i="9" s="1"/>
  <c r="K22" i="9" s="1"/>
  <c r="I11" i="9"/>
  <c r="I10" i="9" s="1"/>
  <c r="F11" i="9"/>
  <c r="F10" i="9" s="1"/>
  <c r="D11" i="9"/>
  <c r="D10" i="9" s="1"/>
  <c r="Q9" i="9"/>
  <c r="R9" i="9" s="1"/>
  <c r="G9" i="9"/>
  <c r="Q8" i="9"/>
  <c r="R8" i="9" s="1"/>
  <c r="G8" i="9"/>
  <c r="P7" i="9"/>
  <c r="I7" i="9"/>
  <c r="H7" i="9"/>
  <c r="H22" i="9" s="1"/>
  <c r="F7" i="9"/>
  <c r="D7" i="9"/>
  <c r="Q6" i="9"/>
  <c r="R6" i="9" s="1"/>
  <c r="G6" i="9"/>
  <c r="B16" i="8"/>
  <c r="B22" i="8" s="1"/>
  <c r="C15" i="8"/>
  <c r="D15" i="8" s="1"/>
  <c r="B12" i="8"/>
  <c r="B11" i="8"/>
  <c r="B10" i="8"/>
  <c r="C9" i="8"/>
  <c r="C12" i="8" s="1"/>
  <c r="E5" i="8"/>
  <c r="D5" i="8"/>
  <c r="C5" i="8"/>
  <c r="B5" i="8"/>
  <c r="E4" i="8"/>
  <c r="D4" i="8"/>
  <c r="C4" i="8"/>
  <c r="B4" i="8"/>
  <c r="E3" i="8"/>
  <c r="E6" i="8" s="1"/>
  <c r="D3" i="8"/>
  <c r="D6" i="8" s="1"/>
  <c r="C3" i="8"/>
  <c r="C6" i="8" s="1"/>
  <c r="B3" i="8"/>
  <c r="B5" i="7"/>
  <c r="B4" i="7"/>
  <c r="B6" i="7" s="1"/>
  <c r="C2" i="7"/>
  <c r="C5" i="7" s="1"/>
  <c r="C8" i="7" s="1"/>
  <c r="B14" i="6"/>
  <c r="B13" i="6"/>
  <c r="B12" i="6"/>
  <c r="D11" i="6"/>
  <c r="D14" i="6" s="1"/>
  <c r="D18" i="6" s="1"/>
  <c r="C11" i="6"/>
  <c r="C14" i="6" s="1"/>
  <c r="E6" i="6"/>
  <c r="D6" i="6"/>
  <c r="C6" i="6"/>
  <c r="B6" i="6"/>
  <c r="E5" i="6"/>
  <c r="D5" i="6"/>
  <c r="C5" i="6"/>
  <c r="B5" i="6"/>
  <c r="E4" i="6"/>
  <c r="D4" i="6"/>
  <c r="C4" i="6"/>
  <c r="B4" i="6"/>
  <c r="B7" i="6" s="1"/>
  <c r="A10" i="5"/>
  <c r="A9" i="5"/>
  <c r="A8" i="5"/>
  <c r="A7" i="5"/>
  <c r="A6" i="5"/>
  <c r="A5" i="5"/>
  <c r="A4" i="5"/>
  <c r="A3" i="5"/>
  <c r="AI186" i="4"/>
  <c r="AE186" i="4"/>
  <c r="AA186" i="4"/>
  <c r="W186" i="4"/>
  <c r="S186" i="4"/>
  <c r="AE183" i="4"/>
  <c r="AA183" i="4"/>
  <c r="W183" i="4"/>
  <c r="S183" i="4"/>
  <c r="AE182" i="4"/>
  <c r="AA182" i="4"/>
  <c r="W182" i="4"/>
  <c r="S182" i="4"/>
  <c r="AE181" i="4"/>
  <c r="X181" i="4"/>
  <c r="AA181" i="4" s="1"/>
  <c r="T181" i="4"/>
  <c r="W181" i="4" s="1"/>
  <c r="S181" i="4"/>
  <c r="AD180" i="4"/>
  <c r="AC180" i="4"/>
  <c r="AB180" i="4"/>
  <c r="Z180" i="4"/>
  <c r="Y180" i="4"/>
  <c r="X180" i="4"/>
  <c r="V180" i="4"/>
  <c r="U180" i="4"/>
  <c r="T180" i="4"/>
  <c r="R180" i="4"/>
  <c r="Q180" i="4"/>
  <c r="P180" i="4"/>
  <c r="AE176" i="4"/>
  <c r="AA176" i="4"/>
  <c r="W176" i="4"/>
  <c r="S176" i="4"/>
  <c r="AD175" i="4"/>
  <c r="AC175" i="4"/>
  <c r="AB175" i="4"/>
  <c r="Z175" i="4"/>
  <c r="Y175" i="4"/>
  <c r="X175" i="4"/>
  <c r="V175" i="4"/>
  <c r="U175" i="4"/>
  <c r="T175" i="4"/>
  <c r="R175" i="4"/>
  <c r="R146" i="4" s="1"/>
  <c r="Q175" i="4"/>
  <c r="P175" i="4"/>
  <c r="AE174" i="4"/>
  <c r="AA174" i="4"/>
  <c r="W174" i="4"/>
  <c r="S174" i="4"/>
  <c r="AE173" i="4"/>
  <c r="AA173" i="4"/>
  <c r="W173" i="4"/>
  <c r="S173" i="4"/>
  <c r="AE172" i="4"/>
  <c r="AA172" i="4"/>
  <c r="W172" i="4"/>
  <c r="S172" i="4"/>
  <c r="AE171" i="4"/>
  <c r="T171" i="4"/>
  <c r="W171" i="4" s="1"/>
  <c r="S171" i="4"/>
  <c r="AD170" i="4"/>
  <c r="AC170" i="4"/>
  <c r="AB170" i="4"/>
  <c r="Z170" i="4"/>
  <c r="Y170" i="4"/>
  <c r="V170" i="4"/>
  <c r="U170" i="4"/>
  <c r="R170" i="4"/>
  <c r="Q170" i="4"/>
  <c r="P170" i="4"/>
  <c r="AE169" i="4"/>
  <c r="AA169" i="4"/>
  <c r="W169" i="4"/>
  <c r="S169" i="4"/>
  <c r="AE168" i="4"/>
  <c r="AA168" i="4"/>
  <c r="W168" i="4"/>
  <c r="S168" i="4"/>
  <c r="AD167" i="4"/>
  <c r="AC167" i="4"/>
  <c r="AB167" i="4"/>
  <c r="Z167" i="4"/>
  <c r="Y167" i="4"/>
  <c r="AA167" i="4" s="1"/>
  <c r="X167" i="4"/>
  <c r="V167" i="4"/>
  <c r="U167" i="4"/>
  <c r="T167" i="4"/>
  <c r="R167" i="4"/>
  <c r="Q167" i="4"/>
  <c r="P167" i="4"/>
  <c r="AE166" i="4"/>
  <c r="AA166" i="4"/>
  <c r="W166" i="4"/>
  <c r="S166" i="4"/>
  <c r="O166" i="4"/>
  <c r="AD165" i="4"/>
  <c r="AC165" i="4"/>
  <c r="AB165" i="4"/>
  <c r="Z165" i="4"/>
  <c r="Y165" i="4"/>
  <c r="X165" i="4"/>
  <c r="V165" i="4"/>
  <c r="U165" i="4"/>
  <c r="T165" i="4"/>
  <c r="R165" i="4"/>
  <c r="Q165" i="4"/>
  <c r="P165" i="4"/>
  <c r="AE164" i="4"/>
  <c r="AA164" i="4"/>
  <c r="W164" i="4"/>
  <c r="S164" i="4"/>
  <c r="AF164" i="4" s="1"/>
  <c r="AE163" i="4"/>
  <c r="AA163" i="4"/>
  <c r="W163" i="4"/>
  <c r="S163" i="4"/>
  <c r="AF163" i="4" s="1"/>
  <c r="T162" i="4"/>
  <c r="W162" i="4" s="1"/>
  <c r="S162" i="4"/>
  <c r="AD161" i="4"/>
  <c r="AC161" i="4"/>
  <c r="Z161" i="4"/>
  <c r="Y161" i="4"/>
  <c r="V161" i="4"/>
  <c r="U161" i="4"/>
  <c r="R161" i="4"/>
  <c r="Q161" i="4"/>
  <c r="P161" i="4"/>
  <c r="AE160" i="4"/>
  <c r="AA160" i="4"/>
  <c r="W160" i="4"/>
  <c r="S160" i="4"/>
  <c r="AE159" i="4"/>
  <c r="AA159" i="4"/>
  <c r="W159" i="4"/>
  <c r="S159" i="4"/>
  <c r="AE158" i="4"/>
  <c r="AA158" i="4"/>
  <c r="W158" i="4"/>
  <c r="S158" i="4"/>
  <c r="AD157" i="4"/>
  <c r="AD146" i="4" s="1"/>
  <c r="AC157" i="4"/>
  <c r="AB157" i="4"/>
  <c r="Z157" i="4"/>
  <c r="Y157" i="4"/>
  <c r="X157" i="4"/>
  <c r="V157" i="4"/>
  <c r="U157" i="4"/>
  <c r="T157" i="4"/>
  <c r="W157" i="4" s="1"/>
  <c r="R157" i="4"/>
  <c r="Q157" i="4"/>
  <c r="P157" i="4"/>
  <c r="S157" i="4" s="1"/>
  <c r="AE156" i="4"/>
  <c r="AA156" i="4"/>
  <c r="W156" i="4"/>
  <c r="S156" i="4"/>
  <c r="O156" i="4"/>
  <c r="AB155" i="4"/>
  <c r="AE155" i="4" s="1"/>
  <c r="X155" i="4"/>
  <c r="X153" i="4" s="1"/>
  <c r="T155" i="4"/>
  <c r="W155" i="4" s="1"/>
  <c r="S155" i="4"/>
  <c r="AE154" i="4"/>
  <c r="AA154" i="4"/>
  <c r="W154" i="4"/>
  <c r="S154" i="4"/>
  <c r="AF154" i="4" s="1"/>
  <c r="AD153" i="4"/>
  <c r="AC153" i="4"/>
  <c r="AB153" i="4"/>
  <c r="Z153" i="4"/>
  <c r="Y153" i="4"/>
  <c r="V153" i="4"/>
  <c r="U153" i="4"/>
  <c r="T153" i="4"/>
  <c r="R153" i="4"/>
  <c r="Q153" i="4"/>
  <c r="P153" i="4"/>
  <c r="AF152" i="4"/>
  <c r="O152" i="4"/>
  <c r="AE151" i="4"/>
  <c r="AA151" i="4"/>
  <c r="W151" i="4"/>
  <c r="S151" i="4"/>
  <c r="O151" i="4"/>
  <c r="AE150" i="4"/>
  <c r="AA150" i="4"/>
  <c r="T150" i="4"/>
  <c r="W150" i="4" s="1"/>
  <c r="S150" i="4"/>
  <c r="AE149" i="4"/>
  <c r="AA149" i="4"/>
  <c r="W149" i="4"/>
  <c r="S149" i="4"/>
  <c r="O149" i="4"/>
  <c r="AE148" i="4"/>
  <c r="AA148" i="4"/>
  <c r="W148" i="4"/>
  <c r="S148" i="4"/>
  <c r="O148" i="4"/>
  <c r="AD147" i="4"/>
  <c r="AC147" i="4"/>
  <c r="AB147" i="4"/>
  <c r="Z147" i="4"/>
  <c r="Y147" i="4"/>
  <c r="X147" i="4"/>
  <c r="V147" i="4"/>
  <c r="V146" i="4" s="1"/>
  <c r="U147" i="4"/>
  <c r="U146" i="4" s="1"/>
  <c r="R147" i="4"/>
  <c r="Q147" i="4"/>
  <c r="P147" i="4"/>
  <c r="AE145" i="4"/>
  <c r="AA145" i="4"/>
  <c r="W145" i="4"/>
  <c r="S145" i="4"/>
  <c r="AE144" i="4"/>
  <c r="AA144" i="4"/>
  <c r="W144" i="4"/>
  <c r="S144" i="4"/>
  <c r="AE143" i="4"/>
  <c r="AA143" i="4"/>
  <c r="W143" i="4"/>
  <c r="S143" i="4"/>
  <c r="AE142" i="4"/>
  <c r="AA142" i="4"/>
  <c r="W142" i="4"/>
  <c r="S142" i="4"/>
  <c r="AF141" i="4"/>
  <c r="O141" i="4"/>
  <c r="AF140" i="4"/>
  <c r="O140" i="4"/>
  <c r="AF139" i="4"/>
  <c r="O139" i="4"/>
  <c r="AE138" i="4"/>
  <c r="AA138" i="4"/>
  <c r="W138" i="4"/>
  <c r="S138" i="4"/>
  <c r="O138" i="4"/>
  <c r="AD137" i="4"/>
  <c r="AC137" i="4"/>
  <c r="AB137" i="4"/>
  <c r="Z137" i="4"/>
  <c r="Y137" i="4"/>
  <c r="X137" i="4"/>
  <c r="X136" i="4" s="1"/>
  <c r="V137" i="4"/>
  <c r="V136" i="4" s="1"/>
  <c r="U137" i="4"/>
  <c r="U136" i="4" s="1"/>
  <c r="T137" i="4"/>
  <c r="R137" i="4"/>
  <c r="Q137" i="4"/>
  <c r="S137" i="4" s="1"/>
  <c r="P137" i="4"/>
  <c r="AD136" i="4"/>
  <c r="AC136" i="4"/>
  <c r="AB136" i="4"/>
  <c r="Z136" i="4"/>
  <c r="Y136" i="4"/>
  <c r="T136" i="4"/>
  <c r="R136" i="4"/>
  <c r="Q136" i="4"/>
  <c r="P136" i="4"/>
  <c r="O135" i="4"/>
  <c r="AE134" i="4"/>
  <c r="AA134" i="4"/>
  <c r="W134" i="4"/>
  <c r="S134" i="4"/>
  <c r="AD133" i="4"/>
  <c r="AC133" i="4"/>
  <c r="AB133" i="4"/>
  <c r="Z133" i="4"/>
  <c r="Y133" i="4"/>
  <c r="X133" i="4"/>
  <c r="V133" i="4"/>
  <c r="U133" i="4"/>
  <c r="T133" i="4"/>
  <c r="R133" i="4"/>
  <c r="Q133" i="4"/>
  <c r="P133" i="4"/>
  <c r="AE132" i="4"/>
  <c r="AA132" i="4"/>
  <c r="W132" i="4"/>
  <c r="S132" i="4"/>
  <c r="AB131" i="4"/>
  <c r="AE131" i="4" s="1"/>
  <c r="AA131" i="4"/>
  <c r="W131" i="4"/>
  <c r="S131" i="4"/>
  <c r="AE130" i="4"/>
  <c r="AA130" i="4"/>
  <c r="W130" i="4"/>
  <c r="S130" i="4"/>
  <c r="AE129" i="4"/>
  <c r="AA129" i="4"/>
  <c r="W129" i="4"/>
  <c r="S129" i="4"/>
  <c r="AE128" i="4"/>
  <c r="AA128" i="4"/>
  <c r="W128" i="4"/>
  <c r="S128" i="4"/>
  <c r="AE127" i="4"/>
  <c r="AA127" i="4"/>
  <c r="W127" i="4"/>
  <c r="S127" i="4"/>
  <c r="AE126" i="4"/>
  <c r="AA126" i="4"/>
  <c r="W126" i="4"/>
  <c r="S126" i="4"/>
  <c r="AE125" i="4"/>
  <c r="AA125" i="4"/>
  <c r="W125" i="4"/>
  <c r="S125" i="4"/>
  <c r="AD124" i="4"/>
  <c r="AC124" i="4"/>
  <c r="AB124" i="4"/>
  <c r="Z124" i="4"/>
  <c r="Y124" i="4"/>
  <c r="Y121" i="4" s="1"/>
  <c r="X124" i="4"/>
  <c r="V124" i="4"/>
  <c r="V121" i="4" s="1"/>
  <c r="V111" i="4" s="1"/>
  <c r="U124" i="4"/>
  <c r="T124" i="4"/>
  <c r="R124" i="4"/>
  <c r="Q124" i="4"/>
  <c r="P124" i="4"/>
  <c r="P121" i="4" s="1"/>
  <c r="T123" i="4"/>
  <c r="S123" i="4"/>
  <c r="T122" i="4"/>
  <c r="W122" i="4" s="1"/>
  <c r="S122" i="4"/>
  <c r="O122" i="4"/>
  <c r="AD121" i="4"/>
  <c r="Z121" i="4"/>
  <c r="R121" i="4"/>
  <c r="Q121" i="4"/>
  <c r="AB120" i="4"/>
  <c r="AA120" i="4"/>
  <c r="W120" i="4"/>
  <c r="S120" i="4"/>
  <c r="AD119" i="4"/>
  <c r="AC119" i="4"/>
  <c r="Z119" i="4"/>
  <c r="Y119" i="4"/>
  <c r="X119" i="4"/>
  <c r="V119" i="4"/>
  <c r="U119" i="4"/>
  <c r="T119" i="4"/>
  <c r="R119" i="4"/>
  <c r="Q119" i="4"/>
  <c r="P119" i="4"/>
  <c r="AE118" i="4"/>
  <c r="AA118" i="4"/>
  <c r="W118" i="4"/>
  <c r="S118" i="4"/>
  <c r="O118" i="4"/>
  <c r="AE117" i="4"/>
  <c r="AA117" i="4"/>
  <c r="W117" i="4"/>
  <c r="S117" i="4"/>
  <c r="O117" i="4"/>
  <c r="AE116" i="4"/>
  <c r="AA116" i="4"/>
  <c r="W116" i="4"/>
  <c r="S116" i="4"/>
  <c r="AF116" i="4" s="1"/>
  <c r="AE115" i="4"/>
  <c r="AA115" i="4"/>
  <c r="W115" i="4"/>
  <c r="S115" i="4"/>
  <c r="O115" i="4"/>
  <c r="AE114" i="4"/>
  <c r="AA114" i="4"/>
  <c r="W114" i="4"/>
  <c r="S114" i="4"/>
  <c r="O114" i="4"/>
  <c r="AE113" i="4"/>
  <c r="AA113" i="4"/>
  <c r="W113" i="4"/>
  <c r="S113" i="4"/>
  <c r="O113" i="4"/>
  <c r="AD112" i="4"/>
  <c r="AC112" i="4"/>
  <c r="AB112" i="4"/>
  <c r="Z112" i="4"/>
  <c r="Z111" i="4" s="1"/>
  <c r="Y112" i="4"/>
  <c r="X112" i="4"/>
  <c r="V112" i="4"/>
  <c r="U112" i="4"/>
  <c r="T112" i="4"/>
  <c r="R112" i="4"/>
  <c r="Q112" i="4"/>
  <c r="Q111" i="4" s="1"/>
  <c r="P112" i="4"/>
  <c r="AE110" i="4"/>
  <c r="AA110" i="4"/>
  <c r="W110" i="4"/>
  <c r="S110" i="4"/>
  <c r="AE109" i="4"/>
  <c r="AA109" i="4"/>
  <c r="W109" i="4"/>
  <c r="S109" i="4"/>
  <c r="AF108" i="4"/>
  <c r="O108" i="4"/>
  <c r="AE107" i="4"/>
  <c r="AA107" i="4"/>
  <c r="W107" i="4"/>
  <c r="S107" i="4"/>
  <c r="AF107" i="4" s="1"/>
  <c r="AD106" i="4"/>
  <c r="AC106" i="4"/>
  <c r="AB106" i="4"/>
  <c r="Z106" i="4"/>
  <c r="Y106" i="4"/>
  <c r="X106" i="4"/>
  <c r="V106" i="4"/>
  <c r="U106" i="4"/>
  <c r="U98" i="4" s="1"/>
  <c r="T106" i="4"/>
  <c r="R106" i="4"/>
  <c r="Q106" i="4"/>
  <c r="P106" i="4"/>
  <c r="S106" i="4" s="1"/>
  <c r="AE105" i="4"/>
  <c r="AA105" i="4"/>
  <c r="W105" i="4"/>
  <c r="S105" i="4"/>
  <c r="AF105" i="4" s="1"/>
  <c r="AE104" i="4"/>
  <c r="AA104" i="4"/>
  <c r="W104" i="4"/>
  <c r="S104" i="4"/>
  <c r="AF104" i="4" s="1"/>
  <c r="O104" i="4"/>
  <c r="AE103" i="4"/>
  <c r="AA103" i="4"/>
  <c r="W103" i="4"/>
  <c r="S103" i="4"/>
  <c r="O103" i="4"/>
  <c r="T102" i="4"/>
  <c r="W102" i="4" s="1"/>
  <c r="S102" i="4"/>
  <c r="O102" i="4"/>
  <c r="AE101" i="4"/>
  <c r="AA101" i="4"/>
  <c r="W101" i="4"/>
  <c r="S101" i="4"/>
  <c r="O101" i="4"/>
  <c r="T100" i="4"/>
  <c r="S100" i="4"/>
  <c r="AD99" i="4"/>
  <c r="AC99" i="4"/>
  <c r="AC98" i="4" s="1"/>
  <c r="Z99" i="4"/>
  <c r="Y99" i="4"/>
  <c r="Y98" i="4" s="1"/>
  <c r="V99" i="4"/>
  <c r="U99" i="4"/>
  <c r="T99" i="4"/>
  <c r="R99" i="4"/>
  <c r="R98" i="4" s="1"/>
  <c r="Q99" i="4"/>
  <c r="P99" i="4"/>
  <c r="P98" i="4" s="1"/>
  <c r="S98" i="4" s="1"/>
  <c r="V98" i="4"/>
  <c r="Q98" i="4"/>
  <c r="AE97" i="4"/>
  <c r="AA97" i="4"/>
  <c r="W97" i="4"/>
  <c r="S97" i="4"/>
  <c r="AF97" i="4" s="1"/>
  <c r="O97" i="4"/>
  <c r="AE96" i="4"/>
  <c r="AA96" i="4"/>
  <c r="W96" i="4"/>
  <c r="S96" i="4"/>
  <c r="O96" i="4"/>
  <c r="AE95" i="4"/>
  <c r="AA95" i="4"/>
  <c r="W95" i="4"/>
  <c r="S95" i="4"/>
  <c r="AE94" i="4"/>
  <c r="X94" i="4"/>
  <c r="W94" i="4"/>
  <c r="S94" i="4"/>
  <c r="AE93" i="4"/>
  <c r="AA93" i="4"/>
  <c r="W93" i="4"/>
  <c r="S93" i="4"/>
  <c r="AE92" i="4"/>
  <c r="AA92" i="4"/>
  <c r="W92" i="4"/>
  <c r="S92" i="4"/>
  <c r="AE91" i="4"/>
  <c r="AA91" i="4"/>
  <c r="W91" i="4"/>
  <c r="S91" i="4"/>
  <c r="O91" i="4"/>
  <c r="AE90" i="4"/>
  <c r="AA90" i="4"/>
  <c r="W90" i="4"/>
  <c r="S90" i="4"/>
  <c r="O90" i="4"/>
  <c r="AD89" i="4"/>
  <c r="AD74" i="4" s="1"/>
  <c r="AC89" i="4"/>
  <c r="AB89" i="4"/>
  <c r="Z89" i="4"/>
  <c r="Y89" i="4"/>
  <c r="V89" i="4"/>
  <c r="U89" i="4"/>
  <c r="T89" i="4"/>
  <c r="T74" i="4" s="1"/>
  <c r="R89" i="4"/>
  <c r="Q89" i="4"/>
  <c r="P89" i="4"/>
  <c r="AE88" i="4"/>
  <c r="AA88" i="4"/>
  <c r="W88" i="4"/>
  <c r="S88" i="4"/>
  <c r="O88" i="4"/>
  <c r="O87" i="4"/>
  <c r="AE86" i="4"/>
  <c r="AA86" i="4"/>
  <c r="W86" i="4"/>
  <c r="S86" i="4"/>
  <c r="O86" i="4"/>
  <c r="AE85" i="4"/>
  <c r="AA85" i="4"/>
  <c r="W85" i="4"/>
  <c r="S85" i="4"/>
  <c r="AF85" i="4" s="1"/>
  <c r="O85" i="4"/>
  <c r="AD84" i="4"/>
  <c r="AC84" i="4"/>
  <c r="AB84" i="4"/>
  <c r="Z84" i="4"/>
  <c r="Y84" i="4"/>
  <c r="Y74" i="4" s="1"/>
  <c r="X84" i="4"/>
  <c r="V84" i="4"/>
  <c r="V74" i="4" s="1"/>
  <c r="U84" i="4"/>
  <c r="T84" i="4"/>
  <c r="R84" i="4"/>
  <c r="Q84" i="4"/>
  <c r="P84" i="4"/>
  <c r="AE82" i="4"/>
  <c r="AA82" i="4"/>
  <c r="W82" i="4"/>
  <c r="S82" i="4"/>
  <c r="AE81" i="4"/>
  <c r="AA81" i="4"/>
  <c r="W81" i="4"/>
  <c r="O81" i="4"/>
  <c r="AE80" i="4"/>
  <c r="AA80" i="4"/>
  <c r="W80" i="4"/>
  <c r="AF80" i="4" s="1"/>
  <c r="O80" i="4"/>
  <c r="AE79" i="4"/>
  <c r="AA79" i="4"/>
  <c r="W79" i="4"/>
  <c r="S79" i="4"/>
  <c r="O79" i="4"/>
  <c r="AE78" i="4"/>
  <c r="AA78" i="4"/>
  <c r="W78" i="4"/>
  <c r="S78" i="4"/>
  <c r="O78" i="4"/>
  <c r="AE77" i="4"/>
  <c r="AA77" i="4"/>
  <c r="W77" i="4"/>
  <c r="S77" i="4"/>
  <c r="AE76" i="4"/>
  <c r="AA76" i="4"/>
  <c r="W76" i="4"/>
  <c r="P76" i="4"/>
  <c r="S76" i="4" s="1"/>
  <c r="O76" i="4"/>
  <c r="AD75" i="4"/>
  <c r="AC75" i="4"/>
  <c r="AB75" i="4"/>
  <c r="Z75" i="4"/>
  <c r="Z74" i="4" s="1"/>
  <c r="Y75" i="4"/>
  <c r="X75" i="4"/>
  <c r="V75" i="4"/>
  <c r="U75" i="4"/>
  <c r="T75" i="4"/>
  <c r="R75" i="4"/>
  <c r="Q75" i="4"/>
  <c r="P75" i="4"/>
  <c r="S75" i="4" s="1"/>
  <c r="U74" i="4"/>
  <c r="AE73" i="4"/>
  <c r="AA73" i="4"/>
  <c r="W73" i="4"/>
  <c r="S73" i="4"/>
  <c r="N73" i="4"/>
  <c r="AF72" i="4"/>
  <c r="O72" i="4"/>
  <c r="AE71" i="4"/>
  <c r="AA71" i="4"/>
  <c r="W71" i="4"/>
  <c r="S71" i="4"/>
  <c r="O71" i="4"/>
  <c r="AF70" i="4"/>
  <c r="AE69" i="4"/>
  <c r="AA69" i="4"/>
  <c r="T69" i="4"/>
  <c r="S69" i="4"/>
  <c r="AD68" i="4"/>
  <c r="AC68" i="4"/>
  <c r="AB68" i="4"/>
  <c r="Z68" i="4"/>
  <c r="Y68" i="4"/>
  <c r="X68" i="4"/>
  <c r="V68" i="4"/>
  <c r="U68" i="4"/>
  <c r="R68" i="4"/>
  <c r="Q68" i="4"/>
  <c r="P68" i="4"/>
  <c r="AE66" i="4"/>
  <c r="AA66" i="4"/>
  <c r="W66" i="4"/>
  <c r="S66" i="4"/>
  <c r="AF66" i="4" s="1"/>
  <c r="AE65" i="4"/>
  <c r="AA65" i="4"/>
  <c r="W65" i="4"/>
  <c r="S65" i="4"/>
  <c r="AE64" i="4"/>
  <c r="AA64" i="4"/>
  <c r="W64" i="4"/>
  <c r="S64" i="4"/>
  <c r="AF64" i="4" s="1"/>
  <c r="AE63" i="4"/>
  <c r="AA63" i="4"/>
  <c r="W63" i="4"/>
  <c r="S63" i="4"/>
  <c r="O63" i="4"/>
  <c r="AD62" i="4"/>
  <c r="AC62" i="4"/>
  <c r="AB62" i="4"/>
  <c r="AE62" i="4" s="1"/>
  <c r="Z62" i="4"/>
  <c r="Y62" i="4"/>
  <c r="X62" i="4"/>
  <c r="V62" i="4"/>
  <c r="U62" i="4"/>
  <c r="T62" i="4"/>
  <c r="R62" i="4"/>
  <c r="Q62" i="4"/>
  <c r="P62" i="4"/>
  <c r="AF61" i="4"/>
  <c r="O61" i="4"/>
  <c r="AE60" i="4"/>
  <c r="AA60" i="4"/>
  <c r="W60" i="4"/>
  <c r="S60" i="4"/>
  <c r="AE59" i="4"/>
  <c r="AA59" i="4"/>
  <c r="W59" i="4"/>
  <c r="AE58" i="4"/>
  <c r="AA58" i="4"/>
  <c r="W58" i="4"/>
  <c r="O58" i="4"/>
  <c r="AE57" i="4"/>
  <c r="AA57" i="4"/>
  <c r="W57" i="4"/>
  <c r="O57" i="4"/>
  <c r="AF56" i="4"/>
  <c r="AB55" i="4"/>
  <c r="X55" i="4"/>
  <c r="AA55" i="4" s="1"/>
  <c r="T55" i="4"/>
  <c r="W55" i="4" s="1"/>
  <c r="S55" i="4"/>
  <c r="AD54" i="4"/>
  <c r="AC54" i="4"/>
  <c r="Z54" i="4"/>
  <c r="Z48" i="4" s="1"/>
  <c r="Y54" i="4"/>
  <c r="V54" i="4"/>
  <c r="U54" i="4"/>
  <c r="T54" i="4"/>
  <c r="R54" i="4"/>
  <c r="R48" i="4" s="1"/>
  <c r="Q54" i="4"/>
  <c r="P54" i="4"/>
  <c r="S53" i="4"/>
  <c r="AF53" i="4" s="1"/>
  <c r="O53" i="4"/>
  <c r="S52" i="4"/>
  <c r="AF52" i="4" s="1"/>
  <c r="O52" i="4"/>
  <c r="S51" i="4"/>
  <c r="AF51" i="4" s="1"/>
  <c r="O51" i="4"/>
  <c r="AE50" i="4"/>
  <c r="AA50" i="4"/>
  <c r="W50" i="4"/>
  <c r="S50" i="4"/>
  <c r="O50" i="4"/>
  <c r="AD49" i="4"/>
  <c r="AC49" i="4"/>
  <c r="AB49" i="4"/>
  <c r="Z49" i="4"/>
  <c r="Y49" i="4"/>
  <c r="Y48" i="4" s="1"/>
  <c r="X49" i="4"/>
  <c r="V49" i="4"/>
  <c r="U49" i="4"/>
  <c r="T49" i="4"/>
  <c r="R49" i="4"/>
  <c r="Q49" i="4"/>
  <c r="P49" i="4"/>
  <c r="AC48" i="4"/>
  <c r="AE47" i="4"/>
  <c r="AA47" i="4"/>
  <c r="W47" i="4"/>
  <c r="P47" i="4"/>
  <c r="S47" i="4" s="1"/>
  <c r="O47" i="4"/>
  <c r="AD46" i="4"/>
  <c r="AC46" i="4"/>
  <c r="AB46" i="4"/>
  <c r="Z46" i="4"/>
  <c r="Y46" i="4"/>
  <c r="X46" i="4"/>
  <c r="V46" i="4"/>
  <c r="U46" i="4"/>
  <c r="W46" i="4" s="1"/>
  <c r="T46" i="4"/>
  <c r="R46" i="4"/>
  <c r="Q46" i="4"/>
  <c r="AE45" i="4"/>
  <c r="AA45" i="4"/>
  <c r="W45" i="4"/>
  <c r="S45" i="4"/>
  <c r="AF45" i="4" s="1"/>
  <c r="O45" i="4"/>
  <c r="AE44" i="4"/>
  <c r="AA44" i="4"/>
  <c r="W44" i="4"/>
  <c r="S44" i="4"/>
  <c r="AB43" i="4"/>
  <c r="AE43" i="4" s="1"/>
  <c r="AA43" i="4"/>
  <c r="W43" i="4"/>
  <c r="S43" i="4"/>
  <c r="AD42" i="4"/>
  <c r="AC42" i="4"/>
  <c r="Z42" i="4"/>
  <c r="Y42" i="4"/>
  <c r="X42" i="4"/>
  <c r="V42" i="4"/>
  <c r="U42" i="4"/>
  <c r="T42" i="4"/>
  <c r="R42" i="4"/>
  <c r="Q42" i="4"/>
  <c r="P42" i="4"/>
  <c r="AE41" i="4"/>
  <c r="AA41" i="4"/>
  <c r="W41" i="4"/>
  <c r="S41" i="4"/>
  <c r="AF40" i="4"/>
  <c r="AF39" i="4"/>
  <c r="AE38" i="4"/>
  <c r="AA38" i="4"/>
  <c r="W38" i="4"/>
  <c r="S38" i="4"/>
  <c r="AE37" i="4"/>
  <c r="AA37" i="4"/>
  <c r="W37" i="4"/>
  <c r="S37" i="4"/>
  <c r="AE36" i="4"/>
  <c r="AA36" i="4"/>
  <c r="W36" i="4"/>
  <c r="S36" i="4"/>
  <c r="AE35" i="4"/>
  <c r="AA35" i="4"/>
  <c r="W35" i="4"/>
  <c r="S35" i="4"/>
  <c r="AD34" i="4"/>
  <c r="AC34" i="4"/>
  <c r="AB34" i="4"/>
  <c r="Z34" i="4"/>
  <c r="Y34" i="4"/>
  <c r="X34" i="4"/>
  <c r="V34" i="4"/>
  <c r="U34" i="4"/>
  <c r="T34" i="4"/>
  <c r="W34" i="4" s="1"/>
  <c r="R34" i="4"/>
  <c r="Q34" i="4"/>
  <c r="P34" i="4"/>
  <c r="AE33" i="4"/>
  <c r="AA33" i="4"/>
  <c r="O33" i="4"/>
  <c r="AE32" i="4"/>
  <c r="AA32" i="4"/>
  <c r="W32" i="4"/>
  <c r="S32" i="4"/>
  <c r="AD31" i="4"/>
  <c r="AC31" i="4"/>
  <c r="AC23" i="4" s="1"/>
  <c r="AB31" i="4"/>
  <c r="Z31" i="4"/>
  <c r="Y31" i="4"/>
  <c r="X31" i="4"/>
  <c r="V31" i="4"/>
  <c r="U31" i="4"/>
  <c r="U23" i="4" s="1"/>
  <c r="T31" i="4"/>
  <c r="R31" i="4"/>
  <c r="R23" i="4" s="1"/>
  <c r="Q31" i="4"/>
  <c r="P31" i="4"/>
  <c r="AE30" i="4"/>
  <c r="AA30" i="4"/>
  <c r="W30" i="4"/>
  <c r="S30" i="4"/>
  <c r="O30" i="4"/>
  <c r="AE29" i="4"/>
  <c r="AA29" i="4"/>
  <c r="W29" i="4"/>
  <c r="S29" i="4"/>
  <c r="O29" i="4"/>
  <c r="AE28" i="4"/>
  <c r="AA28" i="4"/>
  <c r="W28" i="4"/>
  <c r="S28" i="4"/>
  <c r="AF28" i="4" s="1"/>
  <c r="O28" i="4"/>
  <c r="AE27" i="4"/>
  <c r="AA27" i="4"/>
  <c r="W27" i="4"/>
  <c r="S27" i="4"/>
  <c r="O27" i="4"/>
  <c r="AF26" i="4"/>
  <c r="O26" i="4"/>
  <c r="AE25" i="4"/>
  <c r="AA25" i="4"/>
  <c r="W25" i="4"/>
  <c r="S25" i="4"/>
  <c r="AF25" i="4" s="1"/>
  <c r="AD24" i="4"/>
  <c r="AC24" i="4"/>
  <c r="AB24" i="4"/>
  <c r="Z24" i="4"/>
  <c r="Z23" i="4" s="1"/>
  <c r="Y24" i="4"/>
  <c r="X24" i="4"/>
  <c r="V24" i="4"/>
  <c r="U24" i="4"/>
  <c r="T24" i="4"/>
  <c r="R24" i="4"/>
  <c r="Q24" i="4"/>
  <c r="P24" i="4"/>
  <c r="S24" i="4" s="1"/>
  <c r="AE21" i="4"/>
  <c r="AA21" i="4"/>
  <c r="W21" i="4"/>
  <c r="S21" i="4"/>
  <c r="AF21" i="4" s="1"/>
  <c r="O21" i="4"/>
  <c r="AE20" i="4"/>
  <c r="AA20" i="4"/>
  <c r="W20" i="4"/>
  <c r="O20" i="4"/>
  <c r="AB19" i="4"/>
  <c r="AE19" i="4" s="1"/>
  <c r="AA19" i="4"/>
  <c r="W19" i="4"/>
  <c r="AF19" i="4" s="1"/>
  <c r="AH18" i="4" s="1"/>
  <c r="O19" i="4"/>
  <c r="AD18" i="4"/>
  <c r="AC18" i="4"/>
  <c r="AB18" i="4"/>
  <c r="Z18" i="4"/>
  <c r="Y18" i="4"/>
  <c r="X18" i="4"/>
  <c r="V18" i="4"/>
  <c r="U18" i="4"/>
  <c r="T18" i="4"/>
  <c r="R18" i="4"/>
  <c r="Q18" i="4"/>
  <c r="P18" i="4"/>
  <c r="AE17" i="4"/>
  <c r="AA17" i="4"/>
  <c r="AF17" i="4" s="1"/>
  <c r="AH16" i="4" s="1"/>
  <c r="O17" i="4"/>
  <c r="AD16" i="4"/>
  <c r="AC16" i="4"/>
  <c r="AC5" i="4" s="1"/>
  <c r="AB16" i="4"/>
  <c r="Z16" i="4"/>
  <c r="Y16" i="4"/>
  <c r="X16" i="4"/>
  <c r="V16" i="4"/>
  <c r="U16" i="4"/>
  <c r="T16" i="4"/>
  <c r="R16" i="4"/>
  <c r="R5" i="4" s="1"/>
  <c r="Q16" i="4"/>
  <c r="P16" i="4"/>
  <c r="O16" i="4"/>
  <c r="AE15" i="4"/>
  <c r="AA15" i="4"/>
  <c r="V15" i="4"/>
  <c r="W15" i="4" s="1"/>
  <c r="S15" i="4"/>
  <c r="O15" i="4"/>
  <c r="AE14" i="4"/>
  <c r="AA14" i="4"/>
  <c r="W14" i="4"/>
  <c r="S14" i="4"/>
  <c r="O14" i="4"/>
  <c r="AE13" i="4"/>
  <c r="AA13" i="4"/>
  <c r="W13" i="4"/>
  <c r="S13" i="4"/>
  <c r="O13" i="4"/>
  <c r="AF12" i="4"/>
  <c r="O12" i="4"/>
  <c r="AE11" i="4"/>
  <c r="AA11" i="4"/>
  <c r="W11" i="4"/>
  <c r="S11" i="4"/>
  <c r="O11" i="4"/>
  <c r="AD10" i="4"/>
  <c r="AC10" i="4"/>
  <c r="AB10" i="4"/>
  <c r="AE10" i="4" s="1"/>
  <c r="Z10" i="4"/>
  <c r="Y10" i="4"/>
  <c r="X10" i="4"/>
  <c r="V10" i="4"/>
  <c r="V5" i="4" s="1"/>
  <c r="U10" i="4"/>
  <c r="T10" i="4"/>
  <c r="R10" i="4"/>
  <c r="Q10" i="4"/>
  <c r="P10" i="4"/>
  <c r="AF9" i="4"/>
  <c r="O8" i="4"/>
  <c r="AE7" i="4"/>
  <c r="AA7" i="4"/>
  <c r="W7" i="4"/>
  <c r="S7" i="4"/>
  <c r="AD6" i="4"/>
  <c r="AC6" i="4"/>
  <c r="AB6" i="4"/>
  <c r="Z6" i="4"/>
  <c r="Y6" i="4"/>
  <c r="Y5" i="4" s="1"/>
  <c r="X6" i="4"/>
  <c r="V6" i="4"/>
  <c r="U6" i="4"/>
  <c r="T6" i="4"/>
  <c r="W6" i="4" s="1"/>
  <c r="R6" i="4"/>
  <c r="Q6" i="4"/>
  <c r="P6" i="4"/>
  <c r="AD5" i="4"/>
  <c r="I12" i="3"/>
  <c r="H11" i="3"/>
  <c r="B10" i="3"/>
  <c r="B9" i="3"/>
  <c r="B8" i="3"/>
  <c r="B7" i="3"/>
  <c r="B6" i="3"/>
  <c r="B5" i="3"/>
  <c r="B4" i="3"/>
  <c r="B3" i="3"/>
  <c r="D12" i="2"/>
  <c r="C12" i="2"/>
  <c r="X118" i="13"/>
  <c r="R113" i="13"/>
  <c r="W104" i="13"/>
  <c r="O92" i="13"/>
  <c r="L53" i="13"/>
  <c r="M53" i="13" s="1"/>
  <c r="L49" i="13"/>
  <c r="T104" i="13" s="1"/>
  <c r="J49" i="13"/>
  <c r="F45" i="13"/>
  <c r="J89" i="13" s="1"/>
  <c r="F44" i="13"/>
  <c r="J88" i="13" s="1"/>
  <c r="R112" i="13" s="1"/>
  <c r="X126" i="13" s="1"/>
  <c r="F43" i="13"/>
  <c r="J87" i="13" s="1"/>
  <c r="F42" i="13"/>
  <c r="J86" i="13" s="1"/>
  <c r="F41" i="13"/>
  <c r="J85" i="13" s="1"/>
  <c r="R111" i="13" s="1"/>
  <c r="X125" i="13" s="1"/>
  <c r="F40" i="13"/>
  <c r="J84" i="13" s="1"/>
  <c r="F39" i="13"/>
  <c r="J83" i="13" s="1"/>
  <c r="F38" i="13"/>
  <c r="J82" i="13" s="1"/>
  <c r="F37" i="13"/>
  <c r="J81" i="13" s="1"/>
  <c r="F36" i="13"/>
  <c r="J80" i="13" s="1"/>
  <c r="F35" i="13"/>
  <c r="J79" i="13" s="1"/>
  <c r="F34" i="13"/>
  <c r="J78" i="13" s="1"/>
  <c r="F33" i="13"/>
  <c r="J77" i="13" s="1"/>
  <c r="F32" i="13"/>
  <c r="J76" i="13" s="1"/>
  <c r="F31" i="13"/>
  <c r="J75" i="13" s="1"/>
  <c r="R110" i="13" s="1"/>
  <c r="X124" i="13" s="1"/>
  <c r="F30" i="13"/>
  <c r="J74" i="13" s="1"/>
  <c r="F29" i="13"/>
  <c r="J73" i="13" s="1"/>
  <c r="F28" i="13"/>
  <c r="J72" i="13" s="1"/>
  <c r="F27" i="13"/>
  <c r="J71" i="13" s="1"/>
  <c r="F26" i="13"/>
  <c r="J70" i="13" s="1"/>
  <c r="R109" i="13" s="1"/>
  <c r="X123" i="13" s="1"/>
  <c r="F25" i="13"/>
  <c r="J69" i="13" s="1"/>
  <c r="F24" i="13"/>
  <c r="J68" i="13" s="1"/>
  <c r="F23" i="13"/>
  <c r="J67" i="13" s="1"/>
  <c r="F22" i="13"/>
  <c r="J66" i="13" s="1"/>
  <c r="R108" i="13" s="1"/>
  <c r="X122" i="13" s="1"/>
  <c r="F21" i="13"/>
  <c r="J65" i="13" s="1"/>
  <c r="F20" i="13"/>
  <c r="J64" i="13" s="1"/>
  <c r="F19" i="13"/>
  <c r="J63" i="13" s="1"/>
  <c r="F18" i="13"/>
  <c r="J62" i="13" s="1"/>
  <c r="F17" i="13"/>
  <c r="J61" i="13" s="1"/>
  <c r="F16" i="13"/>
  <c r="J60" i="13" s="1"/>
  <c r="R107" i="13" s="1"/>
  <c r="X121" i="13" s="1"/>
  <c r="F15" i="13"/>
  <c r="F14" i="13"/>
  <c r="J58" i="13" s="1"/>
  <c r="F13" i="13"/>
  <c r="J57" i="13" s="1"/>
  <c r="F12" i="13"/>
  <c r="J56" i="13" s="1"/>
  <c r="F11" i="13"/>
  <c r="J55" i="13" s="1"/>
  <c r="R106" i="13" s="1"/>
  <c r="X120" i="13" s="1"/>
  <c r="F10" i="13"/>
  <c r="J54" i="13" s="1"/>
  <c r="F9" i="13"/>
  <c r="J53" i="13" s="1"/>
  <c r="F8" i="13"/>
  <c r="J52" i="13" s="1"/>
  <c r="F7" i="13"/>
  <c r="J51" i="13" s="1"/>
  <c r="F6" i="13"/>
  <c r="J50" i="13" s="1"/>
  <c r="R105" i="13" s="1"/>
  <c r="X119" i="13" s="1"/>
  <c r="G5" i="13"/>
  <c r="CY198" i="1"/>
  <c r="CY200" i="1" s="1"/>
  <c r="BN195" i="1"/>
  <c r="BQ194" i="1"/>
  <c r="AQ194" i="1"/>
  <c r="CX192" i="1"/>
  <c r="CA192" i="1"/>
  <c r="BY192" i="1"/>
  <c r="BU192" i="1"/>
  <c r="BQ192" i="1"/>
  <c r="BG192" i="1"/>
  <c r="BK192" i="1" s="1"/>
  <c r="AW192" i="1"/>
  <c r="BZ192" i="1" s="1"/>
  <c r="AT192" i="1"/>
  <c r="AQ192" i="1"/>
  <c r="CX191" i="1"/>
  <c r="CA191" i="1"/>
  <c r="BY191" i="1"/>
  <c r="BU191" i="1"/>
  <c r="BQ191" i="1"/>
  <c r="BK191" i="1"/>
  <c r="BG191" i="1"/>
  <c r="AW191" i="1"/>
  <c r="BA191" i="1" s="1"/>
  <c r="AT191" i="1"/>
  <c r="AQ191" i="1"/>
  <c r="CX190" i="1"/>
  <c r="CA190" i="1"/>
  <c r="BY190" i="1"/>
  <c r="BU190" i="1"/>
  <c r="BQ190" i="1"/>
  <c r="BM190" i="1"/>
  <c r="BG190" i="1"/>
  <c r="BK190" i="1" s="1"/>
  <c r="AW190" i="1"/>
  <c r="BA190" i="1" s="1"/>
  <c r="AT190" i="1"/>
  <c r="AQ190" i="1"/>
  <c r="CX189" i="1"/>
  <c r="CA189" i="1"/>
  <c r="BY189" i="1"/>
  <c r="BU189" i="1"/>
  <c r="BQ189" i="1"/>
  <c r="BG189" i="1"/>
  <c r="BK189" i="1" s="1"/>
  <c r="AW189" i="1"/>
  <c r="BA189" i="1" s="1"/>
  <c r="AT189" i="1"/>
  <c r="AQ189" i="1"/>
  <c r="AK189" i="1"/>
  <c r="CX188" i="1"/>
  <c r="CB188" i="1"/>
  <c r="BZ188" i="1"/>
  <c r="BA188" i="1"/>
  <c r="AY188" i="1"/>
  <c r="BC188" i="1" s="1"/>
  <c r="CX187" i="1"/>
  <c r="CB187" i="1"/>
  <c r="BZ187" i="1"/>
  <c r="BA187" i="1"/>
  <c r="AY187" i="1"/>
  <c r="BC187" i="1" s="1"/>
  <c r="CX186" i="1"/>
  <c r="CB186" i="1"/>
  <c r="BZ186" i="1"/>
  <c r="BA186" i="1"/>
  <c r="AY186" i="1"/>
  <c r="BC186" i="1" s="1"/>
  <c r="CX185" i="1"/>
  <c r="CA185" i="1"/>
  <c r="BY185" i="1"/>
  <c r="BU185" i="1"/>
  <c r="BQ185" i="1"/>
  <c r="BG185" i="1"/>
  <c r="AW185" i="1"/>
  <c r="AT185" i="1"/>
  <c r="AQ185" i="1"/>
  <c r="AD185" i="1"/>
  <c r="AD184" i="1" s="1"/>
  <c r="AA185" i="1"/>
  <c r="X185" i="1"/>
  <c r="BX184" i="1"/>
  <c r="BX183" i="1" s="1"/>
  <c r="BW184" i="1"/>
  <c r="BV184" i="1"/>
  <c r="BT184" i="1"/>
  <c r="BT183" i="1" s="1"/>
  <c r="BS184" i="1"/>
  <c r="BR184" i="1"/>
  <c r="BP184" i="1"/>
  <c r="BP183" i="1" s="1"/>
  <c r="BO184" i="1"/>
  <c r="BN184" i="1"/>
  <c r="BL184" i="1"/>
  <c r="BJ184" i="1"/>
  <c r="BH184" i="1"/>
  <c r="BF184" i="1"/>
  <c r="BF183" i="1" s="1"/>
  <c r="BE184" i="1"/>
  <c r="BE183" i="1" s="1"/>
  <c r="BD184" i="1"/>
  <c r="BB184" i="1"/>
  <c r="AZ184" i="1"/>
  <c r="AX184" i="1"/>
  <c r="AV184" i="1"/>
  <c r="AV183" i="1" s="1"/>
  <c r="AU184" i="1"/>
  <c r="AU183" i="1" s="1"/>
  <c r="AW183" i="1" s="1"/>
  <c r="AT184" i="1"/>
  <c r="AT183" i="1" s="1"/>
  <c r="AS184" i="1"/>
  <c r="AS183" i="1" s="1"/>
  <c r="AR184" i="1"/>
  <c r="AR183" i="1" s="1"/>
  <c r="AP184" i="1"/>
  <c r="AP183" i="1" s="1"/>
  <c r="AO184" i="1"/>
  <c r="AO183" i="1" s="1"/>
  <c r="AQ183" i="1" s="1"/>
  <c r="AL184" i="1"/>
  <c r="AK184" i="1"/>
  <c r="BW183" i="1"/>
  <c r="BS183" i="1"/>
  <c r="BO183" i="1"/>
  <c r="AL183" i="1"/>
  <c r="CX182" i="1"/>
  <c r="CB182" i="1"/>
  <c r="BY182" i="1"/>
  <c r="BU182" i="1"/>
  <c r="BQ182" i="1"/>
  <c r="BG182" i="1"/>
  <c r="BA182" i="1"/>
  <c r="AY182" i="1"/>
  <c r="BC182" i="1" s="1"/>
  <c r="AW182" i="1"/>
  <c r="AQ182" i="1"/>
  <c r="AJ182" i="1"/>
  <c r="AD182" i="1"/>
  <c r="AA182" i="1"/>
  <c r="CX181" i="1"/>
  <c r="CB181" i="1"/>
  <c r="BA181" i="1"/>
  <c r="AY181" i="1"/>
  <c r="BC181" i="1" s="1"/>
  <c r="AJ181" i="1"/>
  <c r="AD181" i="1"/>
  <c r="AA181" i="1"/>
  <c r="CX180" i="1"/>
  <c r="CB180" i="1"/>
  <c r="BA180" i="1"/>
  <c r="AY180" i="1"/>
  <c r="BC180" i="1" s="1"/>
  <c r="AI180" i="1"/>
  <c r="AA180" i="1"/>
  <c r="X180" i="1"/>
  <c r="AJ180" i="1" s="1"/>
  <c r="AK180" i="1" s="1"/>
  <c r="AK178" i="1" s="1"/>
  <c r="I43" i="13" s="1"/>
  <c r="CX179" i="1"/>
  <c r="CA179" i="1"/>
  <c r="BY179" i="1"/>
  <c r="BU179" i="1"/>
  <c r="BQ179" i="1"/>
  <c r="BG179" i="1"/>
  <c r="BK179" i="1" s="1"/>
  <c r="AW179" i="1"/>
  <c r="BA179" i="1" s="1"/>
  <c r="AT179" i="1"/>
  <c r="AT178" i="1" s="1"/>
  <c r="AQ179" i="1"/>
  <c r="AD179" i="1"/>
  <c r="BX178" i="1"/>
  <c r="BW178" i="1"/>
  <c r="BV178" i="1"/>
  <c r="BT178" i="1"/>
  <c r="BS178" i="1"/>
  <c r="BR178" i="1"/>
  <c r="BP178" i="1"/>
  <c r="BO178" i="1"/>
  <c r="BN178" i="1"/>
  <c r="BL178" i="1"/>
  <c r="BJ178" i="1"/>
  <c r="BH178" i="1"/>
  <c r="BF178" i="1"/>
  <c r="BE178" i="1"/>
  <c r="BD178" i="1"/>
  <c r="BB178" i="1"/>
  <c r="AZ178" i="1"/>
  <c r="AX178" i="1"/>
  <c r="AV178" i="1"/>
  <c r="AU178" i="1"/>
  <c r="AS178" i="1"/>
  <c r="AS170" i="1" s="1"/>
  <c r="AR178" i="1"/>
  <c r="AP178" i="1"/>
  <c r="AO178" i="1"/>
  <c r="AL178" i="1"/>
  <c r="CX177" i="1"/>
  <c r="CB177" i="1"/>
  <c r="BY177" i="1"/>
  <c r="BU177" i="1"/>
  <c r="BQ177" i="1"/>
  <c r="BG177" i="1"/>
  <c r="BA177" i="1"/>
  <c r="AY177" i="1"/>
  <c r="BC177" i="1" s="1"/>
  <c r="AQ177" i="1"/>
  <c r="AI177" i="1"/>
  <c r="AK177" i="1" s="1"/>
  <c r="CX176" i="1"/>
  <c r="CB176" i="1"/>
  <c r="BY176" i="1"/>
  <c r="BU176" i="1"/>
  <c r="BQ176" i="1"/>
  <c r="BG176" i="1"/>
  <c r="BA176" i="1"/>
  <c r="AY176" i="1"/>
  <c r="BC176" i="1" s="1"/>
  <c r="AQ176" i="1"/>
  <c r="AI176" i="1"/>
  <c r="AK176" i="1" s="1"/>
  <c r="AD176" i="1"/>
  <c r="CX175" i="1"/>
  <c r="CB175" i="1"/>
  <c r="BY175" i="1"/>
  <c r="BU175" i="1"/>
  <c r="BQ175" i="1"/>
  <c r="BG175" i="1"/>
  <c r="BK175" i="1" s="1"/>
  <c r="BA175" i="1"/>
  <c r="AY175" i="1"/>
  <c r="BC175" i="1" s="1"/>
  <c r="AQ175" i="1"/>
  <c r="AJ175" i="1"/>
  <c r="AI175" i="1"/>
  <c r="AD175" i="1"/>
  <c r="AA175" i="1"/>
  <c r="CX174" i="1"/>
  <c r="CB174" i="1"/>
  <c r="BR174" i="1"/>
  <c r="BV174" i="1" s="1"/>
  <c r="BY174" i="1" s="1"/>
  <c r="BQ174" i="1"/>
  <c r="BG174" i="1"/>
  <c r="BA174" i="1"/>
  <c r="AY174" i="1"/>
  <c r="BC174" i="1" s="1"/>
  <c r="AQ174" i="1"/>
  <c r="AJ174" i="1"/>
  <c r="AI174" i="1"/>
  <c r="CX173" i="1"/>
  <c r="CB173" i="1"/>
  <c r="BY173" i="1"/>
  <c r="BU173" i="1"/>
  <c r="BQ173" i="1"/>
  <c r="BG173" i="1"/>
  <c r="BA173" i="1"/>
  <c r="AY173" i="1"/>
  <c r="BC173" i="1" s="1"/>
  <c r="AQ173" i="1"/>
  <c r="AJ173" i="1"/>
  <c r="AI173" i="1"/>
  <c r="AA173" i="1"/>
  <c r="CA172" i="1"/>
  <c r="CA171" i="1" s="1"/>
  <c r="BN172" i="1"/>
  <c r="BR172" i="1" s="1"/>
  <c r="BV172" i="1" s="1"/>
  <c r="BY172" i="1" s="1"/>
  <c r="BD172" i="1"/>
  <c r="BD171" i="1" s="1"/>
  <c r="BD170" i="1" s="1"/>
  <c r="AW172" i="1"/>
  <c r="BA172" i="1" s="1"/>
  <c r="AT172" i="1"/>
  <c r="AT171" i="1" s="1"/>
  <c r="AQ172" i="1"/>
  <c r="AD172" i="1"/>
  <c r="AA172" i="1"/>
  <c r="BX171" i="1"/>
  <c r="BX170" i="1" s="1"/>
  <c r="BW171" i="1"/>
  <c r="BT171" i="1"/>
  <c r="BS171" i="1"/>
  <c r="BS170" i="1" s="1"/>
  <c r="BP171" i="1"/>
  <c r="BO171" i="1"/>
  <c r="BL171" i="1"/>
  <c r="BL170" i="1" s="1"/>
  <c r="BJ171" i="1"/>
  <c r="BH171" i="1"/>
  <c r="BF171" i="1"/>
  <c r="BF170" i="1" s="1"/>
  <c r="BE171" i="1"/>
  <c r="BB171" i="1"/>
  <c r="AZ171" i="1"/>
  <c r="AX171" i="1"/>
  <c r="AX170" i="1" s="1"/>
  <c r="AV171" i="1"/>
  <c r="AU171" i="1"/>
  <c r="AS171" i="1"/>
  <c r="AR171" i="1"/>
  <c r="AR170" i="1" s="1"/>
  <c r="AP171" i="1"/>
  <c r="AO171" i="1"/>
  <c r="AQ171" i="1" s="1"/>
  <c r="AL171" i="1"/>
  <c r="Y171" i="1"/>
  <c r="BJ170" i="1"/>
  <c r="AZ170" i="1"/>
  <c r="AV170" i="1"/>
  <c r="AP170" i="1"/>
  <c r="AL170" i="1"/>
  <c r="CX169" i="1"/>
  <c r="CA169" i="1"/>
  <c r="BY169" i="1"/>
  <c r="BU169" i="1"/>
  <c r="BQ169" i="1"/>
  <c r="BG169" i="1"/>
  <c r="BM169" i="1" s="1"/>
  <c r="AW169" i="1"/>
  <c r="AQ169" i="1"/>
  <c r="AK169" i="1"/>
  <c r="AD169" i="1"/>
  <c r="CX168" i="1"/>
  <c r="CA168" i="1"/>
  <c r="BY168" i="1"/>
  <c r="BU168" i="1"/>
  <c r="BQ168" i="1"/>
  <c r="BG168" i="1"/>
  <c r="BK168" i="1" s="1"/>
  <c r="AW168" i="1"/>
  <c r="AQ168" i="1"/>
  <c r="AK168" i="1"/>
  <c r="AD168" i="1"/>
  <c r="CA167" i="1"/>
  <c r="BY167" i="1"/>
  <c r="BR167" i="1"/>
  <c r="BU167" i="1" s="1"/>
  <c r="BN167" i="1"/>
  <c r="BQ167" i="1" s="1"/>
  <c r="BD167" i="1"/>
  <c r="BG167" i="1" s="1"/>
  <c r="BM167" i="1" s="1"/>
  <c r="AW167" i="1"/>
  <c r="AQ167" i="1"/>
  <c r="AK167" i="1"/>
  <c r="AD167" i="1"/>
  <c r="BX166" i="1"/>
  <c r="BW166" i="1"/>
  <c r="BV166" i="1"/>
  <c r="BT166" i="1"/>
  <c r="BS166" i="1"/>
  <c r="BR166" i="1"/>
  <c r="BP166" i="1"/>
  <c r="BO166" i="1"/>
  <c r="BL166" i="1"/>
  <c r="BJ166" i="1"/>
  <c r="BH166" i="1"/>
  <c r="BF166" i="1"/>
  <c r="BE166" i="1"/>
  <c r="AV166" i="1"/>
  <c r="AU166" i="1"/>
  <c r="AP166" i="1"/>
  <c r="AQ166" i="1" s="1"/>
  <c r="AL166" i="1"/>
  <c r="CX165" i="1"/>
  <c r="CB165" i="1"/>
  <c r="BA165" i="1"/>
  <c r="AY165" i="1"/>
  <c r="BC165" i="1" s="1"/>
  <c r="AJ165" i="1"/>
  <c r="AD165" i="1"/>
  <c r="Y165" i="1"/>
  <c r="AA165" i="1" s="1"/>
  <c r="CX164" i="1"/>
  <c r="CB164" i="1"/>
  <c r="BA164" i="1"/>
  <c r="AY164" i="1"/>
  <c r="BC164" i="1" s="1"/>
  <c r="AJ164" i="1"/>
  <c r="AD164" i="1"/>
  <c r="Y164" i="1"/>
  <c r="AA164" i="1" s="1"/>
  <c r="CX163" i="1"/>
  <c r="CA163" i="1"/>
  <c r="CA162" i="1" s="1"/>
  <c r="BY163" i="1"/>
  <c r="BU163" i="1"/>
  <c r="BQ163" i="1"/>
  <c r="BG163" i="1"/>
  <c r="BK163" i="1" s="1"/>
  <c r="AW163" i="1"/>
  <c r="BA163" i="1" s="1"/>
  <c r="AT163" i="1"/>
  <c r="AT162" i="1" s="1"/>
  <c r="AQ163" i="1"/>
  <c r="AJ163" i="1"/>
  <c r="AD163" i="1"/>
  <c r="Y163" i="1"/>
  <c r="AA163" i="1" s="1"/>
  <c r="BX162" i="1"/>
  <c r="BW162" i="1"/>
  <c r="BV162" i="1"/>
  <c r="BT162" i="1"/>
  <c r="BS162" i="1"/>
  <c r="BR162" i="1"/>
  <c r="BP162" i="1"/>
  <c r="BO162" i="1"/>
  <c r="BN162" i="1"/>
  <c r="BL162" i="1"/>
  <c r="BJ162" i="1"/>
  <c r="BH162" i="1"/>
  <c r="BF162" i="1"/>
  <c r="BE162" i="1"/>
  <c r="BD162" i="1"/>
  <c r="BB162" i="1"/>
  <c r="AZ162" i="1"/>
  <c r="AX162" i="1"/>
  <c r="AV162" i="1"/>
  <c r="AU162" i="1"/>
  <c r="AS162" i="1"/>
  <c r="AR162" i="1"/>
  <c r="AP162" i="1"/>
  <c r="AO162" i="1"/>
  <c r="AQ162" i="1" s="1"/>
  <c r="AL162" i="1"/>
  <c r="AK162" i="1"/>
  <c r="I39" i="13" s="1"/>
  <c r="CX161" i="1"/>
  <c r="CB161" i="1"/>
  <c r="BY161" i="1"/>
  <c r="BU161" i="1"/>
  <c r="BQ161" i="1"/>
  <c r="BG161" i="1"/>
  <c r="BA161" i="1"/>
  <c r="AY161" i="1"/>
  <c r="BC161" i="1" s="1"/>
  <c r="AW161" i="1"/>
  <c r="AQ161" i="1"/>
  <c r="AJ161" i="1"/>
  <c r="AI161" i="1"/>
  <c r="AD161" i="1"/>
  <c r="Y161" i="1"/>
  <c r="CX160" i="1"/>
  <c r="CB160" i="1"/>
  <c r="BY160" i="1"/>
  <c r="BU160" i="1"/>
  <c r="BQ160" i="1"/>
  <c r="BG160" i="1"/>
  <c r="BA160" i="1"/>
  <c r="AY160" i="1"/>
  <c r="BC160" i="1" s="1"/>
  <c r="AW160" i="1"/>
  <c r="AQ160" i="1"/>
  <c r="AJ160" i="1"/>
  <c r="AI160" i="1"/>
  <c r="AD160" i="1"/>
  <c r="Y160" i="1"/>
  <c r="CX159" i="1"/>
  <c r="CB159" i="1"/>
  <c r="BY159" i="1"/>
  <c r="BU159" i="1"/>
  <c r="BQ159" i="1"/>
  <c r="BG159" i="1"/>
  <c r="BA159" i="1"/>
  <c r="AY159" i="1"/>
  <c r="BC159" i="1" s="1"/>
  <c r="AW159" i="1"/>
  <c r="AQ159" i="1"/>
  <c r="AJ159" i="1"/>
  <c r="AI159" i="1"/>
  <c r="AD159" i="1"/>
  <c r="AD157" i="1" s="1"/>
  <c r="G38" i="13" s="1"/>
  <c r="AA159" i="1"/>
  <c r="CA158" i="1"/>
  <c r="CA157" i="1" s="1"/>
  <c r="BY158" i="1"/>
  <c r="BN158" i="1"/>
  <c r="CX158" i="1" s="1"/>
  <c r="BG158" i="1"/>
  <c r="BK158" i="1" s="1"/>
  <c r="AW158" i="1"/>
  <c r="BA158" i="1" s="1"/>
  <c r="AT158" i="1"/>
  <c r="AT157" i="1" s="1"/>
  <c r="AQ158" i="1"/>
  <c r="AJ158" i="1"/>
  <c r="AI158" i="1"/>
  <c r="AD158" i="1"/>
  <c r="AA158" i="1"/>
  <c r="BX157" i="1"/>
  <c r="BW157" i="1"/>
  <c r="BV157" i="1"/>
  <c r="BT157" i="1"/>
  <c r="BS157" i="1"/>
  <c r="BP157" i="1"/>
  <c r="BO157" i="1"/>
  <c r="BL157" i="1"/>
  <c r="BJ157" i="1"/>
  <c r="BH157" i="1"/>
  <c r="BF157" i="1"/>
  <c r="BE157" i="1"/>
  <c r="BD157" i="1"/>
  <c r="BB157" i="1"/>
  <c r="AZ157" i="1"/>
  <c r="AX157" i="1"/>
  <c r="AV157" i="1"/>
  <c r="AU157" i="1"/>
  <c r="AS157" i="1"/>
  <c r="AR157" i="1"/>
  <c r="AP157" i="1"/>
  <c r="AO157" i="1"/>
  <c r="AL157" i="1"/>
  <c r="CB156" i="1"/>
  <c r="BY156" i="1"/>
  <c r="BU156" i="1"/>
  <c r="BQ156" i="1"/>
  <c r="BD156" i="1"/>
  <c r="CX156" i="1" s="1"/>
  <c r="BA156" i="1"/>
  <c r="AY156" i="1"/>
  <c r="BC156" i="1" s="1"/>
  <c r="AQ156" i="1"/>
  <c r="AJ156" i="1"/>
  <c r="AI156" i="1"/>
  <c r="AA156" i="1"/>
  <c r="CA155" i="1"/>
  <c r="CA154" i="1" s="1"/>
  <c r="BY155" i="1"/>
  <c r="BU155" i="1"/>
  <c r="BQ155" i="1"/>
  <c r="BD155" i="1"/>
  <c r="CX155" i="1" s="1"/>
  <c r="AW155" i="1"/>
  <c r="BC155" i="1" s="1"/>
  <c r="AT155" i="1"/>
  <c r="AQ155" i="1"/>
  <c r="AJ155" i="1"/>
  <c r="AD155" i="1"/>
  <c r="AD154" i="1" s="1"/>
  <c r="G37" i="13" s="1"/>
  <c r="BX154" i="1"/>
  <c r="BW154" i="1"/>
  <c r="BV154" i="1"/>
  <c r="BT154" i="1"/>
  <c r="BS154" i="1"/>
  <c r="BR154" i="1"/>
  <c r="BP154" i="1"/>
  <c r="BO154" i="1"/>
  <c r="BN154" i="1"/>
  <c r="BL154" i="1"/>
  <c r="BJ154" i="1"/>
  <c r="BH154" i="1"/>
  <c r="BF154" i="1"/>
  <c r="BE154" i="1"/>
  <c r="BB154" i="1"/>
  <c r="AZ154" i="1"/>
  <c r="AX154" i="1"/>
  <c r="AV154" i="1"/>
  <c r="AU154" i="1"/>
  <c r="AT154" i="1"/>
  <c r="AS154" i="1"/>
  <c r="AR154" i="1"/>
  <c r="AP154" i="1"/>
  <c r="AO154" i="1"/>
  <c r="AO133" i="1" s="1"/>
  <c r="AL154" i="1"/>
  <c r="Y154" i="1"/>
  <c r="CX153" i="1"/>
  <c r="CA153" i="1"/>
  <c r="CA152" i="1" s="1"/>
  <c r="BY153" i="1"/>
  <c r="BU153" i="1"/>
  <c r="BQ153" i="1"/>
  <c r="BG153" i="1"/>
  <c r="BK153" i="1" s="1"/>
  <c r="AW153" i="1"/>
  <c r="BA153" i="1" s="1"/>
  <c r="AT153" i="1"/>
  <c r="AT152" i="1" s="1"/>
  <c r="AQ153" i="1"/>
  <c r="AJ153" i="1"/>
  <c r="AI153" i="1"/>
  <c r="AD153" i="1"/>
  <c r="AD152" i="1" s="1"/>
  <c r="G36" i="13" s="1"/>
  <c r="Y153" i="1"/>
  <c r="BX152" i="1"/>
  <c r="BW152" i="1"/>
  <c r="BV152" i="1"/>
  <c r="BT152" i="1"/>
  <c r="BS152" i="1"/>
  <c r="BR152" i="1"/>
  <c r="BP152" i="1"/>
  <c r="BO152" i="1"/>
  <c r="BN152" i="1"/>
  <c r="BL152" i="1"/>
  <c r="BJ152" i="1"/>
  <c r="BH152" i="1"/>
  <c r="BF152" i="1"/>
  <c r="BE152" i="1"/>
  <c r="BD152" i="1"/>
  <c r="BB152" i="1"/>
  <c r="AZ152" i="1"/>
  <c r="AX152" i="1"/>
  <c r="AV152" i="1"/>
  <c r="AU152" i="1"/>
  <c r="AS152" i="1"/>
  <c r="AR152" i="1"/>
  <c r="AP152" i="1"/>
  <c r="AO152" i="1"/>
  <c r="AL152" i="1"/>
  <c r="CX151" i="1"/>
  <c r="CB151" i="1"/>
  <c r="BY151" i="1"/>
  <c r="BU151" i="1"/>
  <c r="BQ151" i="1"/>
  <c r="BG151" i="1"/>
  <c r="BA151" i="1"/>
  <c r="AY151" i="1"/>
  <c r="BC151" i="1" s="1"/>
  <c r="AW151" i="1"/>
  <c r="AQ151" i="1"/>
  <c r="AJ151" i="1"/>
  <c r="AD151" i="1"/>
  <c r="AA151" i="1"/>
  <c r="CX150" i="1"/>
  <c r="CB150" i="1"/>
  <c r="BY150" i="1"/>
  <c r="BU150" i="1"/>
  <c r="BQ150" i="1"/>
  <c r="BG150" i="1"/>
  <c r="BA150" i="1"/>
  <c r="AY150" i="1"/>
  <c r="BC150" i="1" s="1"/>
  <c r="AW150" i="1"/>
  <c r="AQ150" i="1"/>
  <c r="AJ150" i="1"/>
  <c r="AI150" i="1"/>
  <c r="AD150" i="1"/>
  <c r="AA150" i="1"/>
  <c r="CA149" i="1"/>
  <c r="BN149" i="1"/>
  <c r="CX149" i="1" s="1"/>
  <c r="BG149" i="1"/>
  <c r="BM149" i="1" s="1"/>
  <c r="AW149" i="1"/>
  <c r="BC149" i="1" s="1"/>
  <c r="AT149" i="1"/>
  <c r="AQ149" i="1"/>
  <c r="AD149" i="1"/>
  <c r="AA149" i="1"/>
  <c r="CA148" i="1"/>
  <c r="BX148" i="1"/>
  <c r="BW148" i="1"/>
  <c r="BT148" i="1"/>
  <c r="BS148" i="1"/>
  <c r="BP148" i="1"/>
  <c r="BO148" i="1"/>
  <c r="BL148" i="1"/>
  <c r="BJ148" i="1"/>
  <c r="BH148" i="1"/>
  <c r="BF148" i="1"/>
  <c r="BE148" i="1"/>
  <c r="BD148" i="1"/>
  <c r="BB148" i="1"/>
  <c r="AZ148" i="1"/>
  <c r="AX148" i="1"/>
  <c r="AV148" i="1"/>
  <c r="AU148" i="1"/>
  <c r="AW148" i="1" s="1"/>
  <c r="AT148" i="1"/>
  <c r="AS148" i="1"/>
  <c r="AR148" i="1"/>
  <c r="AP148" i="1"/>
  <c r="AO148" i="1"/>
  <c r="AL148" i="1"/>
  <c r="AK148" i="1"/>
  <c r="I35" i="13" s="1"/>
  <c r="CX147" i="1"/>
  <c r="CB147" i="1"/>
  <c r="BY147" i="1"/>
  <c r="BU147" i="1"/>
  <c r="BQ147" i="1"/>
  <c r="BG147" i="1"/>
  <c r="BA147" i="1"/>
  <c r="AY147" i="1"/>
  <c r="BC147" i="1" s="1"/>
  <c r="AW147" i="1"/>
  <c r="AQ147" i="1"/>
  <c r="AJ147" i="1"/>
  <c r="Y147" i="1"/>
  <c r="AA147" i="1" s="1"/>
  <c r="CX146" i="1"/>
  <c r="CB146" i="1"/>
  <c r="BY146" i="1"/>
  <c r="BU146" i="1"/>
  <c r="BQ146" i="1"/>
  <c r="BG146" i="1"/>
  <c r="BA146" i="1"/>
  <c r="AY146" i="1"/>
  <c r="BC146" i="1" s="1"/>
  <c r="AW146" i="1"/>
  <c r="AQ146" i="1"/>
  <c r="AJ146" i="1"/>
  <c r="AD146" i="1"/>
  <c r="AA146" i="1"/>
  <c r="CX145" i="1"/>
  <c r="CA145" i="1"/>
  <c r="CA144" i="1" s="1"/>
  <c r="BY145" i="1"/>
  <c r="BU145" i="1"/>
  <c r="BQ145" i="1"/>
  <c r="BG145" i="1"/>
  <c r="BM145" i="1" s="1"/>
  <c r="AW145" i="1"/>
  <c r="BZ145" i="1" s="1"/>
  <c r="AT145" i="1"/>
  <c r="AQ145" i="1"/>
  <c r="Y145" i="1"/>
  <c r="AA145" i="1" s="1"/>
  <c r="BX144" i="1"/>
  <c r="BW144" i="1"/>
  <c r="BV144" i="1"/>
  <c r="BT144" i="1"/>
  <c r="BS144" i="1"/>
  <c r="BR144" i="1"/>
  <c r="BP144" i="1"/>
  <c r="BO144" i="1"/>
  <c r="BN144" i="1"/>
  <c r="BL144" i="1"/>
  <c r="BJ144" i="1"/>
  <c r="BH144" i="1"/>
  <c r="BF144" i="1"/>
  <c r="BE144" i="1"/>
  <c r="BD144" i="1"/>
  <c r="BB144" i="1"/>
  <c r="AZ144" i="1"/>
  <c r="AX144" i="1"/>
  <c r="AV144" i="1"/>
  <c r="AU144" i="1"/>
  <c r="AT144" i="1"/>
  <c r="AS144" i="1"/>
  <c r="AR144" i="1"/>
  <c r="AP144" i="1"/>
  <c r="AO144" i="1"/>
  <c r="AL144" i="1"/>
  <c r="AK144" i="1"/>
  <c r="I34" i="13" s="1"/>
  <c r="CX143" i="1"/>
  <c r="CB143" i="1"/>
  <c r="BY143" i="1"/>
  <c r="BU143" i="1"/>
  <c r="BQ143" i="1"/>
  <c r="BG143" i="1"/>
  <c r="BA143" i="1"/>
  <c r="AY143" i="1"/>
  <c r="BC143" i="1" s="1"/>
  <c r="AQ143" i="1"/>
  <c r="AI143" i="1"/>
  <c r="AK143" i="1" s="1"/>
  <c r="CB142" i="1"/>
  <c r="BV142" i="1"/>
  <c r="BY142" i="1" s="1"/>
  <c r="BR142" i="1"/>
  <c r="BU142" i="1" s="1"/>
  <c r="BN142" i="1"/>
  <c r="BQ142" i="1" s="1"/>
  <c r="BD142" i="1"/>
  <c r="BG142" i="1" s="1"/>
  <c r="BM142" i="1" s="1"/>
  <c r="BA142" i="1"/>
  <c r="AY142" i="1"/>
  <c r="BC142" i="1" s="1"/>
  <c r="AQ142" i="1"/>
  <c r="AJ142" i="1"/>
  <c r="AD142" i="1"/>
  <c r="Y142" i="1"/>
  <c r="CA141" i="1"/>
  <c r="CA140" i="1" s="1"/>
  <c r="BY141" i="1"/>
  <c r="BU141" i="1"/>
  <c r="BQ141" i="1"/>
  <c r="BD141" i="1"/>
  <c r="CX141" i="1" s="1"/>
  <c r="AW141" i="1"/>
  <c r="BC141" i="1" s="1"/>
  <c r="AT141" i="1"/>
  <c r="AT140" i="1" s="1"/>
  <c r="AQ141" i="1"/>
  <c r="AJ141" i="1"/>
  <c r="AD141" i="1"/>
  <c r="Y141" i="1"/>
  <c r="BX140" i="1"/>
  <c r="BW140" i="1"/>
  <c r="BT140" i="1"/>
  <c r="BS140" i="1"/>
  <c r="BR140" i="1"/>
  <c r="BP140" i="1"/>
  <c r="BO140" i="1"/>
  <c r="BL140" i="1"/>
  <c r="BJ140" i="1"/>
  <c r="BH140" i="1"/>
  <c r="BF140" i="1"/>
  <c r="BE140" i="1"/>
  <c r="BB140" i="1"/>
  <c r="AZ140" i="1"/>
  <c r="AX140" i="1"/>
  <c r="AV140" i="1"/>
  <c r="AU140" i="1"/>
  <c r="AS140" i="1"/>
  <c r="AR140" i="1"/>
  <c r="AP140" i="1"/>
  <c r="AO140" i="1"/>
  <c r="AL140" i="1"/>
  <c r="Y140" i="1" s="1"/>
  <c r="AK140" i="1"/>
  <c r="I33" i="13" s="1"/>
  <c r="CX139" i="1"/>
  <c r="CB139" i="1"/>
  <c r="BZ139" i="1"/>
  <c r="BA139" i="1"/>
  <c r="AY139" i="1"/>
  <c r="BC139" i="1" s="1"/>
  <c r="AI139" i="1"/>
  <c r="AK139" i="1" s="1"/>
  <c r="CX138" i="1"/>
  <c r="CB138" i="1"/>
  <c r="BY138" i="1"/>
  <c r="BU138" i="1"/>
  <c r="BQ138" i="1"/>
  <c r="BG138" i="1"/>
  <c r="BK138" i="1" s="1"/>
  <c r="BA138" i="1"/>
  <c r="AY138" i="1"/>
  <c r="BC138" i="1" s="1"/>
  <c r="AQ138" i="1"/>
  <c r="AJ138" i="1"/>
  <c r="AI138" i="1"/>
  <c r="AA138" i="1"/>
  <c r="CB137" i="1"/>
  <c r="BY137" i="1"/>
  <c r="BU137" i="1"/>
  <c r="BN137" i="1"/>
  <c r="BQ137" i="1" s="1"/>
  <c r="BG137" i="1"/>
  <c r="BM137" i="1" s="1"/>
  <c r="BA137" i="1"/>
  <c r="AY137" i="1"/>
  <c r="BC137" i="1" s="1"/>
  <c r="AQ137" i="1"/>
  <c r="AJ137" i="1"/>
  <c r="AD137" i="1"/>
  <c r="CB136" i="1"/>
  <c r="BY136" i="1"/>
  <c r="BU136" i="1"/>
  <c r="BQ136" i="1"/>
  <c r="BD136" i="1"/>
  <c r="CX136" i="1" s="1"/>
  <c r="BA136" i="1"/>
  <c r="AY136" i="1"/>
  <c r="BC136" i="1" s="1"/>
  <c r="AI136" i="1"/>
  <c r="AK136" i="1" s="1"/>
  <c r="AD136" i="1"/>
  <c r="CX135" i="1"/>
  <c r="CA135" i="1"/>
  <c r="CA134" i="1" s="1"/>
  <c r="BY135" i="1"/>
  <c r="BU135" i="1"/>
  <c r="BQ135" i="1"/>
  <c r="BG135" i="1"/>
  <c r="AW135" i="1"/>
  <c r="BA135" i="1" s="1"/>
  <c r="AT135" i="1"/>
  <c r="AT134" i="1" s="1"/>
  <c r="AQ135" i="1"/>
  <c r="AJ135" i="1"/>
  <c r="AI135" i="1"/>
  <c r="AA135" i="1"/>
  <c r="AA134" i="1" s="1"/>
  <c r="BX134" i="1"/>
  <c r="BW134" i="1"/>
  <c r="BV134" i="1"/>
  <c r="BT134" i="1"/>
  <c r="BS134" i="1"/>
  <c r="BR134" i="1"/>
  <c r="BP134" i="1"/>
  <c r="BO134" i="1"/>
  <c r="BL134" i="1"/>
  <c r="BJ134" i="1"/>
  <c r="BH134" i="1"/>
  <c r="BF134" i="1"/>
  <c r="BE134" i="1"/>
  <c r="BB134" i="1"/>
  <c r="AZ134" i="1"/>
  <c r="AX134" i="1"/>
  <c r="AV134" i="1"/>
  <c r="AU134" i="1"/>
  <c r="AR134" i="1"/>
  <c r="AP134" i="1"/>
  <c r="AO134" i="1"/>
  <c r="AQ134" i="1" s="1"/>
  <c r="AL134" i="1"/>
  <c r="AL133" i="1"/>
  <c r="CX132" i="1"/>
  <c r="CA132" i="1"/>
  <c r="BY132" i="1"/>
  <c r="BU132" i="1"/>
  <c r="BQ132" i="1"/>
  <c r="BG132" i="1"/>
  <c r="BK132" i="1" s="1"/>
  <c r="AW132" i="1"/>
  <c r="BA132" i="1" s="1"/>
  <c r="AT132" i="1"/>
  <c r="AT131" i="1" s="1"/>
  <c r="AQ132" i="1"/>
  <c r="AJ132" i="1"/>
  <c r="AI132" i="1"/>
  <c r="AD131" i="1"/>
  <c r="Y132" i="1"/>
  <c r="AA132" i="1" s="1"/>
  <c r="CA131" i="1"/>
  <c r="BX131" i="1"/>
  <c r="BW131" i="1"/>
  <c r="BV131" i="1"/>
  <c r="BT131" i="1"/>
  <c r="BS131" i="1"/>
  <c r="BR131" i="1"/>
  <c r="BP131" i="1"/>
  <c r="BO131" i="1"/>
  <c r="BN131" i="1"/>
  <c r="BL131" i="1"/>
  <c r="BJ131" i="1"/>
  <c r="BH131" i="1"/>
  <c r="BF131" i="1"/>
  <c r="BE131" i="1"/>
  <c r="BD131" i="1"/>
  <c r="BB131" i="1"/>
  <c r="AZ131" i="1"/>
  <c r="AX131" i="1"/>
  <c r="AV131" i="1"/>
  <c r="AU131" i="1"/>
  <c r="AS131" i="1"/>
  <c r="AR131" i="1"/>
  <c r="AP131" i="1"/>
  <c r="AO131" i="1"/>
  <c r="AL131" i="1"/>
  <c r="CX130" i="1"/>
  <c r="CA130" i="1"/>
  <c r="BY130" i="1"/>
  <c r="BU130" i="1"/>
  <c r="BQ130" i="1"/>
  <c r="BG130" i="1"/>
  <c r="BK130" i="1" s="1"/>
  <c r="AW130" i="1"/>
  <c r="BA130" i="1" s="1"/>
  <c r="AT130" i="1"/>
  <c r="AQ130" i="1"/>
  <c r="AJ130" i="1"/>
  <c r="AA130" i="1"/>
  <c r="CX129" i="1"/>
  <c r="AJ129" i="1"/>
  <c r="AA129" i="1"/>
  <c r="Y129" i="1"/>
  <c r="CX128" i="1"/>
  <c r="AJ128" i="1"/>
  <c r="AD128" i="1"/>
  <c r="AA128" i="1"/>
  <c r="CA127" i="1"/>
  <c r="BV127" i="1"/>
  <c r="BY127" i="1" s="1"/>
  <c r="BU127" i="1"/>
  <c r="BQ127" i="1"/>
  <c r="BL127" i="1"/>
  <c r="BJ127" i="1"/>
  <c r="BH127" i="1"/>
  <c r="BD127" i="1"/>
  <c r="CX127" i="1" s="1"/>
  <c r="AW127" i="1"/>
  <c r="BC127" i="1" s="1"/>
  <c r="AT127" i="1"/>
  <c r="AQ127" i="1"/>
  <c r="AJ127" i="1"/>
  <c r="AI127" i="1"/>
  <c r="AD127" i="1"/>
  <c r="AA127" i="1"/>
  <c r="CX126" i="1"/>
  <c r="BY126" i="1"/>
  <c r="BU126" i="1"/>
  <c r="BQ126" i="1"/>
  <c r="BG126" i="1"/>
  <c r="AQ126" i="1"/>
  <c r="AI126" i="1"/>
  <c r="AK126" i="1" s="1"/>
  <c r="AD126" i="1"/>
  <c r="CX125" i="1"/>
  <c r="AJ125" i="1"/>
  <c r="AD125" i="1"/>
  <c r="AA125" i="1"/>
  <c r="CX124" i="1"/>
  <c r="BY124" i="1"/>
  <c r="BU124" i="1"/>
  <c r="BQ124" i="1"/>
  <c r="BG124" i="1"/>
  <c r="BK124" i="1" s="1"/>
  <c r="AQ124" i="1"/>
  <c r="AJ124" i="1"/>
  <c r="AI124" i="1"/>
  <c r="AD124" i="1"/>
  <c r="AA124" i="1"/>
  <c r="CX123" i="1"/>
  <c r="BY123" i="1"/>
  <c r="BU123" i="1"/>
  <c r="BQ123" i="1"/>
  <c r="BG123" i="1"/>
  <c r="AQ123" i="1"/>
  <c r="AJ123" i="1"/>
  <c r="AI123" i="1"/>
  <c r="AD123" i="1"/>
  <c r="AA123" i="1"/>
  <c r="CX122" i="1"/>
  <c r="BY122" i="1"/>
  <c r="BU122" i="1"/>
  <c r="BQ122" i="1"/>
  <c r="BG122" i="1"/>
  <c r="BK122" i="1" s="1"/>
  <c r="AQ122" i="1"/>
  <c r="AJ122" i="1"/>
  <c r="AI122" i="1"/>
  <c r="AD122" i="1"/>
  <c r="AA122" i="1"/>
  <c r="CX121" i="1"/>
  <c r="CX120" i="1"/>
  <c r="BY120" i="1"/>
  <c r="BU120" i="1"/>
  <c r="BQ120" i="1"/>
  <c r="BG120" i="1"/>
  <c r="BK120" i="1" s="1"/>
  <c r="AQ120" i="1"/>
  <c r="AJ120" i="1"/>
  <c r="AI120" i="1"/>
  <c r="AD120" i="1"/>
  <c r="Y120" i="1"/>
  <c r="AA120" i="1" s="1"/>
  <c r="CX119" i="1"/>
  <c r="CA119" i="1"/>
  <c r="BY119" i="1"/>
  <c r="BU119" i="1"/>
  <c r="BQ119" i="1"/>
  <c r="BG119" i="1"/>
  <c r="AW119" i="1"/>
  <c r="BA119" i="1" s="1"/>
  <c r="AT119" i="1"/>
  <c r="AQ119" i="1"/>
  <c r="AJ119" i="1"/>
  <c r="AI119" i="1"/>
  <c r="AD119" i="1"/>
  <c r="Y119" i="1"/>
  <c r="AA119" i="1" s="1"/>
  <c r="BX118" i="1"/>
  <c r="BW118" i="1"/>
  <c r="BW115" i="1" s="1"/>
  <c r="BV118" i="1"/>
  <c r="BT118" i="1"/>
  <c r="BS118" i="1"/>
  <c r="BS115" i="1" s="1"/>
  <c r="BR118" i="1"/>
  <c r="BP118" i="1"/>
  <c r="BP115" i="1" s="1"/>
  <c r="BO118" i="1"/>
  <c r="BO115" i="1" s="1"/>
  <c r="BN118" i="1"/>
  <c r="BF118" i="1"/>
  <c r="BF115" i="1" s="1"/>
  <c r="BE118" i="1"/>
  <c r="BE115" i="1" s="1"/>
  <c r="BD118" i="1"/>
  <c r="AV118" i="1"/>
  <c r="AV115" i="1" s="1"/>
  <c r="AU118" i="1"/>
  <c r="AP118" i="1"/>
  <c r="AP115" i="1" s="1"/>
  <c r="AO118" i="1"/>
  <c r="AK118" i="1"/>
  <c r="AD118" i="1"/>
  <c r="Y118" i="1"/>
  <c r="BN117" i="1"/>
  <c r="BQ117" i="1" s="1"/>
  <c r="BD117" i="1"/>
  <c r="BB117" i="1"/>
  <c r="BB115" i="1" s="1"/>
  <c r="AZ117" i="1"/>
  <c r="AZ115" i="1" s="1"/>
  <c r="AX117" i="1"/>
  <c r="CA117" i="1" s="1"/>
  <c r="AU117" i="1"/>
  <c r="AW117" i="1" s="1"/>
  <c r="AR117" i="1"/>
  <c r="AR115" i="1" s="1"/>
  <c r="AQ117" i="1"/>
  <c r="AJ117" i="1"/>
  <c r="AI117" i="1"/>
  <c r="AD117" i="1"/>
  <c r="AA117" i="1"/>
  <c r="CA116" i="1"/>
  <c r="BN116" i="1"/>
  <c r="BR116" i="1" s="1"/>
  <c r="BD116" i="1"/>
  <c r="BG116" i="1" s="1"/>
  <c r="AW116" i="1"/>
  <c r="AT116" i="1"/>
  <c r="AQ116" i="1"/>
  <c r="AJ116" i="1"/>
  <c r="AD116" i="1"/>
  <c r="AA116" i="1"/>
  <c r="BX115" i="1"/>
  <c r="BT115" i="1"/>
  <c r="BL115" i="1"/>
  <c r="BJ115" i="1"/>
  <c r="BH115" i="1"/>
  <c r="AX115" i="1"/>
  <c r="AS115" i="1"/>
  <c r="AL115" i="1"/>
  <c r="CX114" i="1"/>
  <c r="CA114" i="1"/>
  <c r="CA113" i="1" s="1"/>
  <c r="BV114" i="1"/>
  <c r="BY114" i="1" s="1"/>
  <c r="BU114" i="1"/>
  <c r="BQ114" i="1"/>
  <c r="BG114" i="1"/>
  <c r="BM114" i="1" s="1"/>
  <c r="AW114" i="1"/>
  <c r="BC114" i="1" s="1"/>
  <c r="AT114" i="1"/>
  <c r="AT113" i="1" s="1"/>
  <c r="AQ114" i="1"/>
  <c r="AJ114" i="1"/>
  <c r="AD114" i="1"/>
  <c r="AD113" i="1" s="1"/>
  <c r="G28" i="13" s="1"/>
  <c r="Y114" i="1"/>
  <c r="AA114" i="1" s="1"/>
  <c r="BX113" i="1"/>
  <c r="BW113" i="1"/>
  <c r="BT113" i="1"/>
  <c r="BT105" i="1" s="1"/>
  <c r="BS113" i="1"/>
  <c r="BR113" i="1"/>
  <c r="BP113" i="1"/>
  <c r="BO113" i="1"/>
  <c r="BN113" i="1"/>
  <c r="BL113" i="1"/>
  <c r="BJ113" i="1"/>
  <c r="BH113" i="1"/>
  <c r="BH105" i="1" s="1"/>
  <c r="BF113" i="1"/>
  <c r="BE113" i="1"/>
  <c r="BD113" i="1"/>
  <c r="BB113" i="1"/>
  <c r="AZ113" i="1"/>
  <c r="AX113" i="1"/>
  <c r="AV113" i="1"/>
  <c r="AU113" i="1"/>
  <c r="AS113" i="1"/>
  <c r="AR113" i="1"/>
  <c r="AP113" i="1"/>
  <c r="AO113" i="1"/>
  <c r="AL113" i="1"/>
  <c r="AK113" i="1"/>
  <c r="I28" i="13" s="1"/>
  <c r="CX112" i="1"/>
  <c r="CB112" i="1"/>
  <c r="BY112" i="1"/>
  <c r="BU112" i="1"/>
  <c r="BQ112" i="1"/>
  <c r="BG112" i="1"/>
  <c r="BA112" i="1"/>
  <c r="AY112" i="1"/>
  <c r="BC112" i="1" s="1"/>
  <c r="AW112" i="1"/>
  <c r="AQ112" i="1"/>
  <c r="AJ112" i="1"/>
  <c r="AI112" i="1"/>
  <c r="AD112" i="1"/>
  <c r="Y112" i="1"/>
  <c r="AA112" i="1" s="1"/>
  <c r="DC111" i="1"/>
  <c r="CX111" i="1"/>
  <c r="CB111" i="1"/>
  <c r="BY111" i="1"/>
  <c r="BU111" i="1"/>
  <c r="BQ111" i="1"/>
  <c r="BG111" i="1"/>
  <c r="BA111" i="1"/>
  <c r="AY111" i="1"/>
  <c r="BC111" i="1" s="1"/>
  <c r="AW111" i="1"/>
  <c r="AQ111" i="1"/>
  <c r="AJ111" i="1"/>
  <c r="AI111" i="1"/>
  <c r="CX110" i="1"/>
  <c r="CB110" i="1"/>
  <c r="BY110" i="1"/>
  <c r="BU110" i="1"/>
  <c r="BQ110" i="1"/>
  <c r="BG110" i="1"/>
  <c r="BA110" i="1"/>
  <c r="AY110" i="1"/>
  <c r="BC110" i="1" s="1"/>
  <c r="AW110" i="1"/>
  <c r="AQ110" i="1"/>
  <c r="AJ110" i="1"/>
  <c r="AD110" i="1"/>
  <c r="Y110" i="1"/>
  <c r="CX109" i="1"/>
  <c r="CB109" i="1"/>
  <c r="BY109" i="1"/>
  <c r="BU109" i="1"/>
  <c r="BQ109" i="1"/>
  <c r="BG109" i="1"/>
  <c r="BA109" i="1"/>
  <c r="AY109" i="1"/>
  <c r="BC109" i="1" s="1"/>
  <c r="AW109" i="1"/>
  <c r="AQ109" i="1"/>
  <c r="AJ109" i="1"/>
  <c r="AI109" i="1"/>
  <c r="AD109" i="1"/>
  <c r="AA109" i="1"/>
  <c r="CX108" i="1"/>
  <c r="CB108" i="1"/>
  <c r="BY108" i="1"/>
  <c r="BU108" i="1"/>
  <c r="BQ108" i="1"/>
  <c r="BG108" i="1"/>
  <c r="BA108" i="1"/>
  <c r="AY108" i="1"/>
  <c r="BC108" i="1" s="1"/>
  <c r="AW108" i="1"/>
  <c r="AQ108" i="1"/>
  <c r="AJ108" i="1"/>
  <c r="AI108" i="1"/>
  <c r="AD108" i="1"/>
  <c r="AA108" i="1"/>
  <c r="CX107" i="1"/>
  <c r="CA107" i="1"/>
  <c r="CA106" i="1" s="1"/>
  <c r="BY107" i="1"/>
  <c r="BU107" i="1"/>
  <c r="BQ107" i="1"/>
  <c r="BM107" i="1"/>
  <c r="BG107" i="1"/>
  <c r="BK107" i="1" s="1"/>
  <c r="AW107" i="1"/>
  <c r="BA107" i="1" s="1"/>
  <c r="AT107" i="1"/>
  <c r="AT106" i="1" s="1"/>
  <c r="AQ107" i="1"/>
  <c r="AJ107" i="1"/>
  <c r="AI107" i="1"/>
  <c r="AK107" i="1" s="1"/>
  <c r="AD107" i="1"/>
  <c r="AA107" i="1"/>
  <c r="BX106" i="1"/>
  <c r="BW106" i="1"/>
  <c r="BV106" i="1"/>
  <c r="BT106" i="1"/>
  <c r="BS106" i="1"/>
  <c r="BR106" i="1"/>
  <c r="BP106" i="1"/>
  <c r="BO106" i="1"/>
  <c r="BN106" i="1"/>
  <c r="BL106" i="1"/>
  <c r="BJ106" i="1"/>
  <c r="BH106" i="1"/>
  <c r="BF106" i="1"/>
  <c r="BE106" i="1"/>
  <c r="BD106" i="1"/>
  <c r="BB106" i="1"/>
  <c r="AZ106" i="1"/>
  <c r="AX106" i="1"/>
  <c r="AV106" i="1"/>
  <c r="AU106" i="1"/>
  <c r="AS106" i="1"/>
  <c r="AR106" i="1"/>
  <c r="AP106" i="1"/>
  <c r="AO106" i="1"/>
  <c r="AL106" i="1"/>
  <c r="AL105" i="1"/>
  <c r="CX104" i="1"/>
  <c r="CA104" i="1"/>
  <c r="BY104" i="1"/>
  <c r="BU104" i="1"/>
  <c r="BQ104" i="1"/>
  <c r="BG104" i="1"/>
  <c r="AW104" i="1"/>
  <c r="AT104" i="1"/>
  <c r="AQ104" i="1"/>
  <c r="AJ104" i="1"/>
  <c r="AI104" i="1"/>
  <c r="AD104" i="1"/>
  <c r="Y104" i="1"/>
  <c r="CX103" i="1"/>
  <c r="CA103" i="1"/>
  <c r="BY103" i="1"/>
  <c r="BU103" i="1"/>
  <c r="BQ103" i="1"/>
  <c r="BK103" i="1"/>
  <c r="BG103" i="1"/>
  <c r="AW103" i="1"/>
  <c r="BA103" i="1" s="1"/>
  <c r="AT103" i="1"/>
  <c r="AQ103" i="1"/>
  <c r="AJ103" i="1"/>
  <c r="AI103" i="1"/>
  <c r="AD103" i="1"/>
  <c r="CX102" i="1"/>
  <c r="CA102" i="1"/>
  <c r="BY102" i="1"/>
  <c r="BU102" i="1"/>
  <c r="BQ102" i="1"/>
  <c r="BG102" i="1"/>
  <c r="BK102" i="1" s="1"/>
  <c r="AW102" i="1"/>
  <c r="BA102" i="1" s="1"/>
  <c r="AT102" i="1"/>
  <c r="AQ102" i="1"/>
  <c r="AK102" i="1"/>
  <c r="AJ102" i="1"/>
  <c r="AD102" i="1"/>
  <c r="Y102" i="1"/>
  <c r="CX101" i="1"/>
  <c r="AI101" i="1"/>
  <c r="AK101" i="1" s="1"/>
  <c r="CX100" i="1"/>
  <c r="CA100" i="1"/>
  <c r="BY100" i="1"/>
  <c r="BR100" i="1"/>
  <c r="BU100" i="1" s="1"/>
  <c r="BQ100" i="1"/>
  <c r="BG100" i="1"/>
  <c r="BK100" i="1" s="1"/>
  <c r="AW100" i="1"/>
  <c r="BA100" i="1" s="1"/>
  <c r="AT100" i="1"/>
  <c r="AQ100" i="1"/>
  <c r="AJ100" i="1"/>
  <c r="AD100" i="1"/>
  <c r="Y100" i="1"/>
  <c r="CX99" i="1"/>
  <c r="AK99" i="1"/>
  <c r="AD99" i="1"/>
  <c r="CX98" i="1"/>
  <c r="CA98" i="1"/>
  <c r="BY98" i="1"/>
  <c r="BU98" i="1"/>
  <c r="BQ98" i="1"/>
  <c r="BG98" i="1"/>
  <c r="BK98" i="1" s="1"/>
  <c r="AW98" i="1"/>
  <c r="AT98" i="1"/>
  <c r="AQ98" i="1"/>
  <c r="AI98" i="1"/>
  <c r="AA98" i="1"/>
  <c r="Y98" i="1"/>
  <c r="CX97" i="1"/>
  <c r="CA97" i="1"/>
  <c r="BY97" i="1"/>
  <c r="BU97" i="1"/>
  <c r="BQ97" i="1"/>
  <c r="BG97" i="1"/>
  <c r="BK97" i="1" s="1"/>
  <c r="AW97" i="1"/>
  <c r="AT97" i="1"/>
  <c r="AQ97" i="1"/>
  <c r="AJ97" i="1"/>
  <c r="AD97" i="1"/>
  <c r="Y97" i="1"/>
  <c r="CX96" i="1"/>
  <c r="CA96" i="1"/>
  <c r="BY96" i="1"/>
  <c r="BU96" i="1"/>
  <c r="BQ96" i="1"/>
  <c r="BG96" i="1"/>
  <c r="BM96" i="1" s="1"/>
  <c r="AW96" i="1"/>
  <c r="AT96" i="1"/>
  <c r="AQ96" i="1"/>
  <c r="AJ96" i="1"/>
  <c r="AK96" i="1" s="1"/>
  <c r="AI96" i="1"/>
  <c r="AD96" i="1"/>
  <c r="Y96" i="1"/>
  <c r="CX95" i="1"/>
  <c r="CA95" i="1"/>
  <c r="BY95" i="1"/>
  <c r="BU95" i="1"/>
  <c r="BQ95" i="1"/>
  <c r="BG95" i="1"/>
  <c r="BM95" i="1" s="1"/>
  <c r="AW95" i="1"/>
  <c r="AT95" i="1"/>
  <c r="AQ95" i="1"/>
  <c r="AJ95" i="1"/>
  <c r="AK95" i="1" s="1"/>
  <c r="AD95" i="1"/>
  <c r="Y95" i="1"/>
  <c r="BX94" i="1"/>
  <c r="BW94" i="1"/>
  <c r="BV94" i="1"/>
  <c r="BT94" i="1"/>
  <c r="BS94" i="1"/>
  <c r="BP94" i="1"/>
  <c r="BO94" i="1"/>
  <c r="BN94" i="1"/>
  <c r="BL94" i="1"/>
  <c r="BJ94" i="1"/>
  <c r="BH94" i="1"/>
  <c r="BF94" i="1"/>
  <c r="BE94" i="1"/>
  <c r="BD94" i="1"/>
  <c r="BB94" i="1"/>
  <c r="AZ94" i="1"/>
  <c r="AX94" i="1"/>
  <c r="AV94" i="1"/>
  <c r="AU94" i="1"/>
  <c r="AR94" i="1"/>
  <c r="AP94" i="1"/>
  <c r="AO94" i="1"/>
  <c r="AQ94" i="1" s="1"/>
  <c r="AL94" i="1"/>
  <c r="CX93" i="1"/>
  <c r="CA93" i="1"/>
  <c r="BY93" i="1"/>
  <c r="BU93" i="1"/>
  <c r="BQ93" i="1"/>
  <c r="BG93" i="1"/>
  <c r="BK93" i="1" s="1"/>
  <c r="AW93" i="1"/>
  <c r="AQ93" i="1"/>
  <c r="AI93" i="1"/>
  <c r="AK93" i="1" s="1"/>
  <c r="AD93" i="1"/>
  <c r="CX92" i="1"/>
  <c r="AJ92" i="1"/>
  <c r="AI92" i="1"/>
  <c r="AD92" i="1"/>
  <c r="Y92" i="1"/>
  <c r="AA92" i="1" s="1"/>
  <c r="CX91" i="1"/>
  <c r="CA91" i="1"/>
  <c r="BY91" i="1"/>
  <c r="BU91" i="1"/>
  <c r="BQ91" i="1"/>
  <c r="BG91" i="1"/>
  <c r="BM91" i="1" s="1"/>
  <c r="AW91" i="1"/>
  <c r="AT91" i="1"/>
  <c r="AQ91" i="1"/>
  <c r="AJ91" i="1"/>
  <c r="AI91" i="1"/>
  <c r="AD91" i="1"/>
  <c r="Y91" i="1"/>
  <c r="AA91" i="1" s="1"/>
  <c r="CX90" i="1"/>
  <c r="AI90" i="1"/>
  <c r="AK90" i="1" s="1"/>
  <c r="AD90" i="1"/>
  <c r="CX89" i="1"/>
  <c r="AK89" i="1"/>
  <c r="AD89" i="1"/>
  <c r="BY88" i="1"/>
  <c r="BU88" i="1"/>
  <c r="BQ88" i="1"/>
  <c r="BG88" i="1"/>
  <c r="BM88" i="1" s="1"/>
  <c r="BD88" i="1"/>
  <c r="CX88" i="1" s="1"/>
  <c r="BB88" i="1"/>
  <c r="BB87" i="1" s="1"/>
  <c r="AZ88" i="1"/>
  <c r="AZ87" i="1" s="1"/>
  <c r="AX88" i="1"/>
  <c r="CA88" i="1" s="1"/>
  <c r="AU88" i="1"/>
  <c r="AW88" i="1" s="1"/>
  <c r="AR88" i="1"/>
  <c r="AT88" i="1" s="1"/>
  <c r="AO88" i="1"/>
  <c r="AQ88" i="1" s="1"/>
  <c r="AD88" i="1"/>
  <c r="AD87" i="1" s="1"/>
  <c r="Y88" i="1"/>
  <c r="AA88" i="1" s="1"/>
  <c r="BX87" i="1"/>
  <c r="BW87" i="1"/>
  <c r="BV87" i="1"/>
  <c r="BT87" i="1"/>
  <c r="BS87" i="1"/>
  <c r="BR87" i="1"/>
  <c r="BP87" i="1"/>
  <c r="BO87" i="1"/>
  <c r="BN87" i="1"/>
  <c r="BL87" i="1"/>
  <c r="BJ87" i="1"/>
  <c r="BH87" i="1"/>
  <c r="BF87" i="1"/>
  <c r="BE87" i="1"/>
  <c r="BD87" i="1"/>
  <c r="AV87" i="1"/>
  <c r="AP87" i="1"/>
  <c r="AL87" i="1"/>
  <c r="CX86" i="1"/>
  <c r="CA86" i="1"/>
  <c r="BY86" i="1"/>
  <c r="BU86" i="1"/>
  <c r="BQ86" i="1"/>
  <c r="BG86" i="1"/>
  <c r="BM86" i="1" s="1"/>
  <c r="AW86" i="1"/>
  <c r="BC86" i="1" s="1"/>
  <c r="AT86" i="1"/>
  <c r="AQ86" i="1"/>
  <c r="AJ86" i="1"/>
  <c r="AI86" i="1"/>
  <c r="Y86" i="1"/>
  <c r="CX85" i="1"/>
  <c r="CA85" i="1"/>
  <c r="BY85" i="1"/>
  <c r="BU85" i="1"/>
  <c r="BQ85" i="1"/>
  <c r="BG85" i="1"/>
  <c r="AI85" i="1"/>
  <c r="AK85" i="1" s="1"/>
  <c r="AD85" i="1"/>
  <c r="CX84" i="1"/>
  <c r="CA84" i="1"/>
  <c r="BY84" i="1"/>
  <c r="BU84" i="1"/>
  <c r="BQ84" i="1"/>
  <c r="BG84" i="1"/>
  <c r="AK84" i="1"/>
  <c r="AD84" i="1"/>
  <c r="CX83" i="1"/>
  <c r="BY83" i="1"/>
  <c r="BU83" i="1"/>
  <c r="BQ83" i="1"/>
  <c r="BG83" i="1"/>
  <c r="AW83" i="1"/>
  <c r="AQ83" i="1"/>
  <c r="AJ83" i="1"/>
  <c r="AD83" i="1"/>
  <c r="Y83" i="1"/>
  <c r="CX82" i="1"/>
  <c r="BY82" i="1"/>
  <c r="BU82" i="1"/>
  <c r="BQ82" i="1"/>
  <c r="BG82" i="1"/>
  <c r="BK82" i="1" s="1"/>
  <c r="AZ82" i="1"/>
  <c r="AZ78" i="1" s="1"/>
  <c r="AX82" i="1"/>
  <c r="CA82" i="1" s="1"/>
  <c r="AU82" i="1"/>
  <c r="AW82" i="1" s="1"/>
  <c r="AT82" i="1"/>
  <c r="AQ82" i="1"/>
  <c r="AJ82" i="1"/>
  <c r="AI82" i="1"/>
  <c r="Y82" i="1"/>
  <c r="CX81" i="1"/>
  <c r="CA81" i="1"/>
  <c r="BY81" i="1"/>
  <c r="BU81" i="1"/>
  <c r="BQ81" i="1"/>
  <c r="BG81" i="1"/>
  <c r="BK81" i="1" s="1"/>
  <c r="AW81" i="1"/>
  <c r="BA81" i="1" s="1"/>
  <c r="AT81" i="1"/>
  <c r="AQ81" i="1"/>
  <c r="AD81" i="1"/>
  <c r="Y81" i="1"/>
  <c r="CX80" i="1"/>
  <c r="AI80" i="1"/>
  <c r="AK80" i="1" s="1"/>
  <c r="CX79" i="1"/>
  <c r="CA79" i="1"/>
  <c r="BY79" i="1"/>
  <c r="BU79" i="1"/>
  <c r="BQ79" i="1"/>
  <c r="BG79" i="1"/>
  <c r="BM79" i="1" s="1"/>
  <c r="AW79" i="1"/>
  <c r="AT79" i="1"/>
  <c r="AQ79" i="1"/>
  <c r="AJ79" i="1"/>
  <c r="AI79" i="1"/>
  <c r="AD79" i="1"/>
  <c r="Y79" i="1"/>
  <c r="BX78" i="1"/>
  <c r="BW78" i="1"/>
  <c r="BW77" i="1" s="1"/>
  <c r="BV78" i="1"/>
  <c r="BT78" i="1"/>
  <c r="BT77" i="1" s="1"/>
  <c r="BS78" i="1"/>
  <c r="BR78" i="1"/>
  <c r="BP78" i="1"/>
  <c r="BO78" i="1"/>
  <c r="BO77" i="1" s="1"/>
  <c r="BN78" i="1"/>
  <c r="BL78" i="1"/>
  <c r="BL77" i="1" s="1"/>
  <c r="BJ78" i="1"/>
  <c r="BH78" i="1"/>
  <c r="BH77" i="1" s="1"/>
  <c r="BF78" i="1"/>
  <c r="BE78" i="1"/>
  <c r="BD78" i="1"/>
  <c r="BG78" i="1" s="1"/>
  <c r="BB78" i="1"/>
  <c r="AV78" i="1"/>
  <c r="AT78" i="1"/>
  <c r="AR78" i="1"/>
  <c r="AP78" i="1"/>
  <c r="AO78" i="1"/>
  <c r="AL78" i="1"/>
  <c r="AA78" i="1" s="1"/>
  <c r="BS77" i="1"/>
  <c r="BE77" i="1"/>
  <c r="AL77" i="1"/>
  <c r="CX76" i="1"/>
  <c r="CA76" i="1"/>
  <c r="CA75" i="1" s="1"/>
  <c r="BY76" i="1"/>
  <c r="BU76" i="1"/>
  <c r="BQ76" i="1"/>
  <c r="BG76" i="1"/>
  <c r="BK76" i="1" s="1"/>
  <c r="AW76" i="1"/>
  <c r="BA76" i="1" s="1"/>
  <c r="AT76" i="1"/>
  <c r="AO76" i="1"/>
  <c r="AQ76" i="1" s="1"/>
  <c r="AK76" i="1"/>
  <c r="AK75" i="1" s="1"/>
  <c r="I21" i="13" s="1"/>
  <c r="AD76" i="1"/>
  <c r="Y76" i="1"/>
  <c r="BX75" i="1"/>
  <c r="BW75" i="1"/>
  <c r="BV75" i="1"/>
  <c r="BT75" i="1"/>
  <c r="BS75" i="1"/>
  <c r="BR75" i="1"/>
  <c r="BP75" i="1"/>
  <c r="BO75" i="1"/>
  <c r="BN75" i="1"/>
  <c r="BL75" i="1"/>
  <c r="BJ75" i="1"/>
  <c r="BH75" i="1"/>
  <c r="BF75" i="1"/>
  <c r="BE75" i="1"/>
  <c r="BG75" i="1" s="1"/>
  <c r="BD75" i="1"/>
  <c r="BB75" i="1"/>
  <c r="AZ75" i="1"/>
  <c r="AX75" i="1"/>
  <c r="AV75" i="1"/>
  <c r="AU75" i="1"/>
  <c r="AT75" i="1"/>
  <c r="AR75" i="1"/>
  <c r="AP75" i="1"/>
  <c r="AO75" i="1"/>
  <c r="AQ75" i="1" s="1"/>
  <c r="AL75" i="1"/>
  <c r="AD75" i="1"/>
  <c r="G21" i="13" s="1"/>
  <c r="CX74" i="1"/>
  <c r="CB74" i="1"/>
  <c r="BY74" i="1"/>
  <c r="BU74" i="1"/>
  <c r="BQ74" i="1"/>
  <c r="BG74" i="1"/>
  <c r="BA74" i="1"/>
  <c r="AY74" i="1"/>
  <c r="BC74" i="1" s="1"/>
  <c r="AW74" i="1"/>
  <c r="AQ74" i="1"/>
  <c r="AK74" i="1"/>
  <c r="Y74" i="1"/>
  <c r="AA74" i="1" s="1"/>
  <c r="CX73" i="1"/>
  <c r="CB73" i="1"/>
  <c r="BA73" i="1"/>
  <c r="AY73" i="1"/>
  <c r="BC73" i="1" s="1"/>
  <c r="AJ73" i="1"/>
  <c r="AA73" i="1"/>
  <c r="CX72" i="1"/>
  <c r="CT72" i="1"/>
  <c r="CB72" i="1"/>
  <c r="BY72" i="1"/>
  <c r="BU72" i="1"/>
  <c r="BQ72" i="1"/>
  <c r="BG72" i="1"/>
  <c r="BA72" i="1"/>
  <c r="AY72" i="1"/>
  <c r="BC72" i="1" s="1"/>
  <c r="AW72" i="1"/>
  <c r="AQ72" i="1"/>
  <c r="AK72" i="1"/>
  <c r="AD72" i="1"/>
  <c r="Y72" i="1"/>
  <c r="AA72" i="1" s="1"/>
  <c r="CX71" i="1"/>
  <c r="CA71" i="1"/>
  <c r="BV71" i="1"/>
  <c r="BY71" i="1" s="1"/>
  <c r="BU71" i="1"/>
  <c r="BQ71" i="1"/>
  <c r="BG71" i="1"/>
  <c r="BK71" i="1" s="1"/>
  <c r="BC71" i="1"/>
  <c r="AW71" i="1"/>
  <c r="AY71" i="1" s="1"/>
  <c r="AT71" i="1"/>
  <c r="AT70" i="1" s="1"/>
  <c r="AQ71" i="1"/>
  <c r="AK71" i="1"/>
  <c r="AD71" i="1"/>
  <c r="Y71" i="1"/>
  <c r="AA71" i="1" s="1"/>
  <c r="CA70" i="1"/>
  <c r="BX70" i="1"/>
  <c r="BW70" i="1"/>
  <c r="BT70" i="1"/>
  <c r="BS70" i="1"/>
  <c r="BR70" i="1"/>
  <c r="BP70" i="1"/>
  <c r="BO70" i="1"/>
  <c r="BN70" i="1"/>
  <c r="BL70" i="1"/>
  <c r="BJ70" i="1"/>
  <c r="BH70" i="1"/>
  <c r="BF70" i="1"/>
  <c r="BE70" i="1"/>
  <c r="BD70" i="1"/>
  <c r="BB70" i="1"/>
  <c r="AZ70" i="1"/>
  <c r="AX70" i="1"/>
  <c r="AV70" i="1"/>
  <c r="AU70" i="1"/>
  <c r="AW70" i="1" s="1"/>
  <c r="AR70" i="1"/>
  <c r="AP70" i="1"/>
  <c r="AO70" i="1"/>
  <c r="AQ70" i="1" s="1"/>
  <c r="AL70" i="1"/>
  <c r="Y70" i="1"/>
  <c r="CX69" i="1"/>
  <c r="CB69" i="1"/>
  <c r="BY69" i="1"/>
  <c r="BU69" i="1"/>
  <c r="BQ69" i="1"/>
  <c r="BG69" i="1"/>
  <c r="BA69" i="1"/>
  <c r="AY69" i="1"/>
  <c r="BC69" i="1" s="1"/>
  <c r="AQ69" i="1"/>
  <c r="AJ69" i="1"/>
  <c r="AI69" i="1"/>
  <c r="CX68" i="1"/>
  <c r="CX67" i="1"/>
  <c r="CB67" i="1"/>
  <c r="BA67" i="1"/>
  <c r="AY67" i="1"/>
  <c r="BC67" i="1" s="1"/>
  <c r="AJ67" i="1"/>
  <c r="AD67" i="1"/>
  <c r="AA67" i="1"/>
  <c r="CX66" i="1"/>
  <c r="CB66" i="1"/>
  <c r="BA66" i="1"/>
  <c r="AY66" i="1"/>
  <c r="BC66" i="1" s="1"/>
  <c r="AD66" i="1"/>
  <c r="Y66" i="1"/>
  <c r="CX65" i="1"/>
  <c r="CB65" i="1"/>
  <c r="BY65" i="1"/>
  <c r="BU65" i="1"/>
  <c r="BQ65" i="1"/>
  <c r="BG65" i="1"/>
  <c r="BA65" i="1"/>
  <c r="AY65" i="1"/>
  <c r="BC65" i="1" s="1"/>
  <c r="AQ65" i="1"/>
  <c r="AA65" i="1"/>
  <c r="CX64" i="1"/>
  <c r="CB64" i="1"/>
  <c r="BY64" i="1"/>
  <c r="BU64" i="1"/>
  <c r="BQ64" i="1"/>
  <c r="BG64" i="1"/>
  <c r="BA64" i="1"/>
  <c r="AY64" i="1"/>
  <c r="BC64" i="1" s="1"/>
  <c r="AQ64" i="1"/>
  <c r="AK64" i="1"/>
  <c r="AD64" i="1"/>
  <c r="AA64" i="1"/>
  <c r="Y64" i="1"/>
  <c r="CX63" i="1"/>
  <c r="CA63" i="1"/>
  <c r="BY63" i="1"/>
  <c r="BU63" i="1"/>
  <c r="BQ63" i="1"/>
  <c r="BM63" i="1"/>
  <c r="BI63" i="1"/>
  <c r="BG63" i="1"/>
  <c r="BK63" i="1" s="1"/>
  <c r="AW63" i="1"/>
  <c r="BA63" i="1" s="1"/>
  <c r="AT63" i="1"/>
  <c r="AT62" i="1" s="1"/>
  <c r="AQ63" i="1"/>
  <c r="AD63" i="1"/>
  <c r="Y63" i="1"/>
  <c r="CA62" i="1"/>
  <c r="BX62" i="1"/>
  <c r="BW62" i="1"/>
  <c r="BV62" i="1"/>
  <c r="BT62" i="1"/>
  <c r="BS62" i="1"/>
  <c r="BR62" i="1"/>
  <c r="BP62" i="1"/>
  <c r="BO62" i="1"/>
  <c r="BN62" i="1"/>
  <c r="BL62" i="1"/>
  <c r="BJ62" i="1"/>
  <c r="BH62" i="1"/>
  <c r="BF62" i="1"/>
  <c r="BE62" i="1"/>
  <c r="BD62" i="1"/>
  <c r="BB62" i="1"/>
  <c r="AZ62" i="1"/>
  <c r="AX62" i="1"/>
  <c r="AV62" i="1"/>
  <c r="AU62" i="1"/>
  <c r="AW62" i="1" s="1"/>
  <c r="AR62" i="1"/>
  <c r="AP62" i="1"/>
  <c r="AO62" i="1"/>
  <c r="AQ62" i="1" s="1"/>
  <c r="AL62" i="1"/>
  <c r="CX61" i="1"/>
  <c r="BM61" i="1"/>
  <c r="BK61" i="1"/>
  <c r="BI61" i="1"/>
  <c r="AD61" i="1"/>
  <c r="CX60" i="1"/>
  <c r="CA60" i="1"/>
  <c r="CA57" i="1" s="1"/>
  <c r="BG60" i="1"/>
  <c r="BM60" i="1" s="1"/>
  <c r="AD60" i="1"/>
  <c r="CX59" i="1"/>
  <c r="CP59" i="1"/>
  <c r="CM59" i="1"/>
  <c r="CB59" i="1"/>
  <c r="BY59" i="1"/>
  <c r="BU59" i="1"/>
  <c r="BA59" i="1"/>
  <c r="AY59" i="1"/>
  <c r="BC59" i="1" s="1"/>
  <c r="AD59" i="1"/>
  <c r="AI59" i="1" s="1"/>
  <c r="CX58" i="1"/>
  <c r="CR58" i="1"/>
  <c r="CA58" i="1"/>
  <c r="BY58" i="1"/>
  <c r="BU58" i="1"/>
  <c r="BQ58" i="1"/>
  <c r="BG58" i="1"/>
  <c r="BK58" i="1" s="1"/>
  <c r="AW58" i="1"/>
  <c r="BA58" i="1" s="1"/>
  <c r="AR58" i="1"/>
  <c r="AT58" i="1" s="1"/>
  <c r="AT57" i="1" s="1"/>
  <c r="AQ58" i="1"/>
  <c r="AM58" i="1"/>
  <c r="AD58" i="1" s="1"/>
  <c r="Y58" i="1"/>
  <c r="BX57" i="1"/>
  <c r="BW57" i="1"/>
  <c r="BV57" i="1"/>
  <c r="BT57" i="1"/>
  <c r="BS57" i="1"/>
  <c r="BR57" i="1"/>
  <c r="BP57" i="1"/>
  <c r="BO57" i="1"/>
  <c r="BN57" i="1"/>
  <c r="BL57" i="1"/>
  <c r="BJ57" i="1"/>
  <c r="BH57" i="1"/>
  <c r="BF57" i="1"/>
  <c r="BE57" i="1"/>
  <c r="BD57" i="1"/>
  <c r="BB57" i="1"/>
  <c r="BB47" i="1" s="1"/>
  <c r="AZ57" i="1"/>
  <c r="AX57" i="1"/>
  <c r="AV57" i="1"/>
  <c r="AU57" i="1"/>
  <c r="AP57" i="1"/>
  <c r="AO57" i="1"/>
  <c r="AL57" i="1"/>
  <c r="AA57" i="1" s="1"/>
  <c r="AK57" i="1"/>
  <c r="I18" i="13" s="1"/>
  <c r="CX56" i="1"/>
  <c r="BY56" i="1"/>
  <c r="BU56" i="1"/>
  <c r="BQ56" i="1"/>
  <c r="BG56" i="1"/>
  <c r="BM56" i="1" s="1"/>
  <c r="AX56" i="1"/>
  <c r="AU56" i="1"/>
  <c r="AW56" i="1" s="1"/>
  <c r="AR56" i="1"/>
  <c r="AT56" i="1" s="1"/>
  <c r="AQ56" i="1"/>
  <c r="AM56" i="1"/>
  <c r="AD56" i="1" s="1"/>
  <c r="AJ56" i="1"/>
  <c r="AI56" i="1"/>
  <c r="AA56" i="1"/>
  <c r="Y56" i="1"/>
  <c r="CX55" i="1"/>
  <c r="CA55" i="1"/>
  <c r="BY55" i="1"/>
  <c r="BU55" i="1"/>
  <c r="BQ55" i="1"/>
  <c r="BG55" i="1"/>
  <c r="BK55" i="1" s="1"/>
  <c r="AW55" i="1"/>
  <c r="BA55" i="1" s="1"/>
  <c r="AT55" i="1"/>
  <c r="AQ55" i="1"/>
  <c r="AM55" i="1"/>
  <c r="AD55" i="1" s="1"/>
  <c r="AK55" i="1"/>
  <c r="AA55" i="1"/>
  <c r="Y55" i="1"/>
  <c r="CX54" i="1"/>
  <c r="AJ54" i="1"/>
  <c r="AK54" i="1" s="1"/>
  <c r="AA54" i="1"/>
  <c r="Y54" i="1"/>
  <c r="CX53" i="1"/>
  <c r="BY53" i="1"/>
  <c r="BU53" i="1"/>
  <c r="BQ53" i="1"/>
  <c r="BG53" i="1"/>
  <c r="BK53" i="1" s="1"/>
  <c r="AX53" i="1"/>
  <c r="CA53" i="1" s="1"/>
  <c r="AU53" i="1"/>
  <c r="AW53" i="1" s="1"/>
  <c r="BA53" i="1" s="1"/>
  <c r="AR53" i="1"/>
  <c r="AT53" i="1" s="1"/>
  <c r="AQ53" i="1"/>
  <c r="AJ53" i="1"/>
  <c r="Y53" i="1"/>
  <c r="AA53" i="1" s="1"/>
  <c r="CX52" i="1"/>
  <c r="CA52" i="1"/>
  <c r="BY52" i="1"/>
  <c r="BU52" i="1"/>
  <c r="BQ52" i="1"/>
  <c r="BG52" i="1"/>
  <c r="BK52" i="1" s="1"/>
  <c r="AW52" i="1"/>
  <c r="BA52" i="1" s="1"/>
  <c r="AT52" i="1"/>
  <c r="AQ52" i="1"/>
  <c r="AM52" i="1"/>
  <c r="AD52" i="1" s="1"/>
  <c r="AJ52" i="1"/>
  <c r="AI52" i="1"/>
  <c r="Y52" i="1"/>
  <c r="CX51" i="1"/>
  <c r="BZ51" i="1"/>
  <c r="AA51" i="1"/>
  <c r="Y51" i="1"/>
  <c r="CX50" i="1"/>
  <c r="AR50" i="1"/>
  <c r="AT49" i="1" s="1"/>
  <c r="AK50" i="1"/>
  <c r="AA50" i="1"/>
  <c r="Y50" i="1"/>
  <c r="BY49" i="1"/>
  <c r="BU49" i="1"/>
  <c r="BQ49" i="1"/>
  <c r="BL49" i="1"/>
  <c r="BJ49" i="1"/>
  <c r="BJ48" i="1" s="1"/>
  <c r="BJ47" i="1" s="1"/>
  <c r="BH49" i="1"/>
  <c r="BD49" i="1"/>
  <c r="BG49" i="1" s="1"/>
  <c r="AX49" i="1"/>
  <c r="AU49" i="1"/>
  <c r="AW49" i="1" s="1"/>
  <c r="AQ49" i="1"/>
  <c r="BX48" i="1"/>
  <c r="BW48" i="1"/>
  <c r="BW47" i="1" s="1"/>
  <c r="BV48" i="1"/>
  <c r="BT48" i="1"/>
  <c r="BS48" i="1"/>
  <c r="BR48" i="1"/>
  <c r="BP48" i="1"/>
  <c r="BO48" i="1"/>
  <c r="BN48" i="1"/>
  <c r="BQ48" i="1" s="1"/>
  <c r="BL48" i="1"/>
  <c r="BL47" i="1" s="1"/>
  <c r="BF48" i="1"/>
  <c r="BE48" i="1"/>
  <c r="BD48" i="1"/>
  <c r="BB48" i="1"/>
  <c r="AZ48" i="1"/>
  <c r="AV48" i="1"/>
  <c r="AP48" i="1"/>
  <c r="AO48" i="1"/>
  <c r="AQ48" i="1" s="1"/>
  <c r="AL48" i="1"/>
  <c r="BR47" i="1"/>
  <c r="AL47" i="1"/>
  <c r="CX46" i="1"/>
  <c r="CB46" i="1"/>
  <c r="BY46" i="1"/>
  <c r="BU46" i="1"/>
  <c r="BQ46" i="1"/>
  <c r="BG46" i="1"/>
  <c r="BA46" i="1"/>
  <c r="AY46" i="1"/>
  <c r="BC46" i="1" s="1"/>
  <c r="AW46" i="1"/>
  <c r="AQ46" i="1"/>
  <c r="AM46" i="1"/>
  <c r="AD46" i="1" s="1"/>
  <c r="AJ46" i="1"/>
  <c r="AK46" i="1" s="1"/>
  <c r="Y46" i="1"/>
  <c r="AA46" i="1" s="1"/>
  <c r="CX45" i="1"/>
  <c r="CB45" i="1"/>
  <c r="BZ45" i="1"/>
  <c r="BA45" i="1"/>
  <c r="AY45" i="1"/>
  <c r="BC45" i="1" s="1"/>
  <c r="Y45" i="1"/>
  <c r="CX44" i="1"/>
  <c r="CB44" i="1"/>
  <c r="BY44" i="1"/>
  <c r="BU44" i="1"/>
  <c r="BQ44" i="1"/>
  <c r="BG44" i="1"/>
  <c r="BA44" i="1"/>
  <c r="AY44" i="1"/>
  <c r="BC44" i="1" s="1"/>
  <c r="AW44" i="1"/>
  <c r="AQ44" i="1"/>
  <c r="AJ44" i="1"/>
  <c r="AI44" i="1"/>
  <c r="Y44" i="1"/>
  <c r="AA44" i="1" s="1"/>
  <c r="CX43" i="1"/>
  <c r="CB43" i="1"/>
  <c r="BA43" i="1"/>
  <c r="AY43" i="1"/>
  <c r="BC43" i="1" s="1"/>
  <c r="Y43" i="1"/>
  <c r="CX42" i="1"/>
  <c r="CB42" i="1"/>
  <c r="BZ42" i="1"/>
  <c r="BA42" i="1"/>
  <c r="AY42" i="1"/>
  <c r="BC42" i="1" s="1"/>
  <c r="AM42" i="1"/>
  <c r="AD45" i="1" s="1"/>
  <c r="AK42" i="1"/>
  <c r="Y42" i="1"/>
  <c r="AA42" i="1" s="1"/>
  <c r="CX41" i="1"/>
  <c r="CB41" i="1"/>
  <c r="BA41" i="1"/>
  <c r="AY41" i="1"/>
  <c r="BC41" i="1" s="1"/>
  <c r="AJ41" i="1"/>
  <c r="AK41" i="1" s="1"/>
  <c r="AD41" i="1"/>
  <c r="Y41" i="1"/>
  <c r="CA40" i="1"/>
  <c r="CA39" i="1" s="1"/>
  <c r="BY40" i="1"/>
  <c r="BU40" i="1"/>
  <c r="BN40" i="1"/>
  <c r="CX40" i="1" s="1"/>
  <c r="BG40" i="1"/>
  <c r="BK40" i="1" s="1"/>
  <c r="AW40" i="1"/>
  <c r="BC40" i="1" s="1"/>
  <c r="AT40" i="1"/>
  <c r="AT39" i="1" s="1"/>
  <c r="AQ40" i="1"/>
  <c r="AM40" i="1"/>
  <c r="AK40" i="1"/>
  <c r="AD40" i="1"/>
  <c r="Y40" i="1"/>
  <c r="AA40" i="1" s="1"/>
  <c r="BX39" i="1"/>
  <c r="BW39" i="1"/>
  <c r="BV39" i="1"/>
  <c r="BT39" i="1"/>
  <c r="BS39" i="1"/>
  <c r="BR39" i="1"/>
  <c r="BP39" i="1"/>
  <c r="BO39" i="1"/>
  <c r="BN39" i="1"/>
  <c r="BL39" i="1"/>
  <c r="BJ39" i="1"/>
  <c r="BH39" i="1"/>
  <c r="BH20" i="1" s="1"/>
  <c r="BF39" i="1"/>
  <c r="BE39" i="1"/>
  <c r="BG39" i="1" s="1"/>
  <c r="BD39" i="1"/>
  <c r="BB39" i="1"/>
  <c r="AZ39" i="1"/>
  <c r="AX39" i="1"/>
  <c r="AV39" i="1"/>
  <c r="AU39" i="1"/>
  <c r="AW39" i="1" s="1"/>
  <c r="AR39" i="1"/>
  <c r="AP39" i="1"/>
  <c r="AO39" i="1"/>
  <c r="AL39" i="1"/>
  <c r="CX38" i="1"/>
  <c r="CB38" i="1"/>
  <c r="BY38" i="1"/>
  <c r="BU38" i="1"/>
  <c r="BQ38" i="1"/>
  <c r="BG38" i="1"/>
  <c r="BK38" i="1" s="1"/>
  <c r="BA38" i="1"/>
  <c r="AY38" i="1"/>
  <c r="BC38" i="1" s="1"/>
  <c r="AW38" i="1"/>
  <c r="AQ38" i="1"/>
  <c r="AM38" i="1"/>
  <c r="AD38" i="1" s="1"/>
  <c r="CX37" i="1"/>
  <c r="CB37" i="1"/>
  <c r="BY37" i="1"/>
  <c r="BU37" i="1"/>
  <c r="BQ37" i="1"/>
  <c r="BG37" i="1"/>
  <c r="BK37" i="1" s="1"/>
  <c r="BA37" i="1"/>
  <c r="AY37" i="1"/>
  <c r="BC37" i="1" s="1"/>
  <c r="AW37" i="1"/>
  <c r="AQ37" i="1"/>
  <c r="AD37" i="1"/>
  <c r="Y37" i="1"/>
  <c r="CX36" i="1"/>
  <c r="CB36" i="1"/>
  <c r="BY36" i="1"/>
  <c r="BU36" i="1"/>
  <c r="BQ36" i="1"/>
  <c r="BG36" i="1"/>
  <c r="BK36" i="1" s="1"/>
  <c r="AY36" i="1"/>
  <c r="BC36" i="1" s="1"/>
  <c r="AW36" i="1"/>
  <c r="AT36" i="1"/>
  <c r="AQ36" i="1"/>
  <c r="AM36" i="1"/>
  <c r="AD36" i="1" s="1"/>
  <c r="AJ36" i="1"/>
  <c r="Y36" i="1"/>
  <c r="CX35" i="1"/>
  <c r="CA35" i="1"/>
  <c r="CA34" i="1" s="1"/>
  <c r="BY35" i="1"/>
  <c r="BU35" i="1"/>
  <c r="BQ35" i="1"/>
  <c r="BG35" i="1"/>
  <c r="AW35" i="1"/>
  <c r="AT35" i="1"/>
  <c r="AQ35" i="1"/>
  <c r="AJ35" i="1"/>
  <c r="AI35" i="1"/>
  <c r="Y35" i="1"/>
  <c r="BX34" i="1"/>
  <c r="BW34" i="1"/>
  <c r="BV34" i="1"/>
  <c r="BT34" i="1"/>
  <c r="BS34" i="1"/>
  <c r="BR34" i="1"/>
  <c r="BP34" i="1"/>
  <c r="BO34" i="1"/>
  <c r="BN34" i="1"/>
  <c r="BL34" i="1"/>
  <c r="BJ34" i="1"/>
  <c r="BH34" i="1"/>
  <c r="BF34" i="1"/>
  <c r="BE34" i="1"/>
  <c r="BD34" i="1"/>
  <c r="BB34" i="1"/>
  <c r="AZ34" i="1"/>
  <c r="AX34" i="1"/>
  <c r="AV34" i="1"/>
  <c r="AU34" i="1"/>
  <c r="AS34" i="1"/>
  <c r="AR34" i="1"/>
  <c r="AP34" i="1"/>
  <c r="AO34" i="1"/>
  <c r="AL34" i="1"/>
  <c r="AA34" i="1" s="1"/>
  <c r="AJ34" i="1"/>
  <c r="CX33" i="1"/>
  <c r="AW33" i="1"/>
  <c r="AQ33" i="1"/>
  <c r="BZ33" i="1" s="1"/>
  <c r="AJ33" i="1"/>
  <c r="AI33" i="1"/>
  <c r="Y33" i="1"/>
  <c r="AA33" i="1" s="1"/>
  <c r="CX32" i="1"/>
  <c r="AW32" i="1"/>
  <c r="AQ32" i="1"/>
  <c r="BZ32" i="1" s="1"/>
  <c r="AJ32" i="1"/>
  <c r="AI32" i="1"/>
  <c r="AD32" i="1"/>
  <c r="Y32" i="1"/>
  <c r="AA32" i="1" s="1"/>
  <c r="CX31" i="1"/>
  <c r="AK31" i="1"/>
  <c r="AD31" i="1"/>
  <c r="Y31" i="1"/>
  <c r="AA31" i="1" s="1"/>
  <c r="CX30" i="1"/>
  <c r="AW30" i="1"/>
  <c r="AQ30" i="1"/>
  <c r="BZ30" i="1" s="1"/>
  <c r="AJ30" i="1"/>
  <c r="AI30" i="1"/>
  <c r="AD30" i="1"/>
  <c r="Y30" i="1"/>
  <c r="AA30" i="1" s="1"/>
  <c r="CX29" i="1"/>
  <c r="CA29" i="1"/>
  <c r="BY29" i="1"/>
  <c r="BU29" i="1"/>
  <c r="BQ29" i="1"/>
  <c r="BG29" i="1"/>
  <c r="BK29" i="1" s="1"/>
  <c r="AW29" i="1"/>
  <c r="BA29" i="1" s="1"/>
  <c r="AT29" i="1"/>
  <c r="AT28" i="1" s="1"/>
  <c r="AQ29" i="1"/>
  <c r="AD29" i="1"/>
  <c r="Y29" i="1"/>
  <c r="AA29" i="1" s="1"/>
  <c r="BX28" i="1"/>
  <c r="BW28" i="1"/>
  <c r="BV28" i="1"/>
  <c r="BT28" i="1"/>
  <c r="BS28" i="1"/>
  <c r="BR28" i="1"/>
  <c r="BP28" i="1"/>
  <c r="BO28" i="1"/>
  <c r="BN28" i="1"/>
  <c r="BL28" i="1"/>
  <c r="BJ28" i="1"/>
  <c r="BH28" i="1"/>
  <c r="BF28" i="1"/>
  <c r="BE28" i="1"/>
  <c r="BD28" i="1"/>
  <c r="BB28" i="1"/>
  <c r="AZ28" i="1"/>
  <c r="AX28" i="1"/>
  <c r="AV28" i="1"/>
  <c r="AU28" i="1"/>
  <c r="AS28" i="1"/>
  <c r="AR28" i="1"/>
  <c r="AP28" i="1"/>
  <c r="AO28" i="1"/>
  <c r="AL28" i="1"/>
  <c r="AJ28" i="1"/>
  <c r="CX27" i="1"/>
  <c r="CB27" i="1"/>
  <c r="BY27" i="1"/>
  <c r="BU27" i="1"/>
  <c r="BQ27" i="1"/>
  <c r="BG27" i="1"/>
  <c r="BK27" i="1" s="1"/>
  <c r="BA27" i="1"/>
  <c r="AY27" i="1"/>
  <c r="BC27" i="1" s="1"/>
  <c r="AM27" i="1"/>
  <c r="AD27" i="1" s="1"/>
  <c r="AI27" i="1"/>
  <c r="AK27" i="1" s="1"/>
  <c r="CX26" i="1"/>
  <c r="CB26" i="1"/>
  <c r="BY26" i="1"/>
  <c r="BU26" i="1"/>
  <c r="BQ26" i="1"/>
  <c r="BG26" i="1"/>
  <c r="BK26" i="1" s="1"/>
  <c r="BA26" i="1"/>
  <c r="AY26" i="1"/>
  <c r="BC26" i="1" s="1"/>
  <c r="AW26" i="1"/>
  <c r="AT26" i="1"/>
  <c r="AQ26" i="1"/>
  <c r="AK26" i="1"/>
  <c r="AD26" i="1"/>
  <c r="AA26" i="1"/>
  <c r="Y26" i="1"/>
  <c r="CX25" i="1"/>
  <c r="CB25" i="1"/>
  <c r="BA25" i="1"/>
  <c r="AY25" i="1"/>
  <c r="BC25" i="1" s="1"/>
  <c r="AJ25" i="1"/>
  <c r="AD25" i="1"/>
  <c r="Y25" i="1"/>
  <c r="CX24" i="1"/>
  <c r="CB24" i="1"/>
  <c r="BY24" i="1"/>
  <c r="BU24" i="1"/>
  <c r="BQ24" i="1"/>
  <c r="BG24" i="1"/>
  <c r="BA24" i="1"/>
  <c r="AY24" i="1"/>
  <c r="BC24" i="1" s="1"/>
  <c r="AJ24" i="1"/>
  <c r="AI24" i="1"/>
  <c r="AD24" i="1"/>
  <c r="Y24" i="1"/>
  <c r="AA24" i="1" s="1"/>
  <c r="CX23" i="1"/>
  <c r="CB23" i="1"/>
  <c r="BA23" i="1"/>
  <c r="AY23" i="1"/>
  <c r="BC23" i="1" s="1"/>
  <c r="AJ23" i="1"/>
  <c r="AI23" i="1"/>
  <c r="AD23" i="1"/>
  <c r="Y23" i="1"/>
  <c r="CA22" i="1"/>
  <c r="CA21" i="1" s="1"/>
  <c r="BV22" i="1"/>
  <c r="BV21" i="1" s="1"/>
  <c r="BR22" i="1"/>
  <c r="BU22" i="1" s="1"/>
  <c r="BQ22" i="1"/>
  <c r="BN22" i="1"/>
  <c r="BD22" i="1"/>
  <c r="AU22" i="1"/>
  <c r="AW22" i="1" s="1"/>
  <c r="BA22" i="1" s="1"/>
  <c r="AT22" i="1"/>
  <c r="AT21" i="1" s="1"/>
  <c r="AQ22" i="1"/>
  <c r="AK22" i="1"/>
  <c r="AD22" i="1"/>
  <c r="Y22" i="1"/>
  <c r="AA22" i="1" s="1"/>
  <c r="BX21" i="1"/>
  <c r="BW21" i="1"/>
  <c r="BT21" i="1"/>
  <c r="BS21" i="1"/>
  <c r="BP21" i="1"/>
  <c r="BO21" i="1"/>
  <c r="BN21" i="1"/>
  <c r="BL21" i="1"/>
  <c r="BJ21" i="1"/>
  <c r="BH21" i="1"/>
  <c r="BF21" i="1"/>
  <c r="BE21" i="1"/>
  <c r="BB21" i="1"/>
  <c r="AZ21" i="1"/>
  <c r="AX21" i="1"/>
  <c r="AV21" i="1"/>
  <c r="AU21" i="1"/>
  <c r="AW21" i="1" s="1"/>
  <c r="AS21" i="1"/>
  <c r="AR21" i="1"/>
  <c r="AP21" i="1"/>
  <c r="AP20" i="1" s="1"/>
  <c r="AO21" i="1"/>
  <c r="AQ21" i="1" s="1"/>
  <c r="AL21" i="1"/>
  <c r="AL20" i="1"/>
  <c r="CX19" i="1"/>
  <c r="BM19" i="1"/>
  <c r="BK19" i="1"/>
  <c r="BI19" i="1"/>
  <c r="AI19" i="1"/>
  <c r="AK19" i="1" s="1"/>
  <c r="CX18" i="1"/>
  <c r="CA18" i="1"/>
  <c r="CA17" i="1" s="1"/>
  <c r="BV18" i="1"/>
  <c r="BY18" i="1" s="1"/>
  <c r="BU18" i="1"/>
  <c r="BQ18" i="1"/>
  <c r="BG18" i="1"/>
  <c r="AD18" i="1"/>
  <c r="AJ18" i="1" s="1"/>
  <c r="AK18" i="1" s="1"/>
  <c r="BX17" i="1"/>
  <c r="BW17" i="1"/>
  <c r="BT17" i="1"/>
  <c r="BS17" i="1"/>
  <c r="BR17" i="1"/>
  <c r="BP17" i="1"/>
  <c r="BO17" i="1"/>
  <c r="BN17" i="1"/>
  <c r="BL17" i="1"/>
  <c r="BJ17" i="1"/>
  <c r="BH17" i="1"/>
  <c r="BF17" i="1"/>
  <c r="BE17" i="1"/>
  <c r="BD17" i="1"/>
  <c r="AV17" i="1"/>
  <c r="AU17" i="1"/>
  <c r="AW17" i="1" s="1"/>
  <c r="AP17" i="1"/>
  <c r="AO17" i="1"/>
  <c r="AQ17" i="1" s="1"/>
  <c r="CX16" i="1"/>
  <c r="BY16" i="1"/>
  <c r="BU16" i="1"/>
  <c r="AT16" i="1"/>
  <c r="AK16" i="1"/>
  <c r="BX15" i="1"/>
  <c r="BW15" i="1"/>
  <c r="BV15" i="1"/>
  <c r="BT15" i="1"/>
  <c r="BS15" i="1"/>
  <c r="BR15" i="1"/>
  <c r="BP15" i="1"/>
  <c r="BO15" i="1"/>
  <c r="BN15" i="1"/>
  <c r="BF15" i="1"/>
  <c r="BE15" i="1"/>
  <c r="BD15" i="1"/>
  <c r="AV15" i="1"/>
  <c r="AU15" i="1"/>
  <c r="AP15" i="1"/>
  <c r="AO15" i="1"/>
  <c r="AQ15" i="1" s="1"/>
  <c r="AI15" i="1"/>
  <c r="CX14" i="1"/>
  <c r="CB14" i="1"/>
  <c r="BY14" i="1"/>
  <c r="BU14" i="1"/>
  <c r="BP14" i="1"/>
  <c r="BQ14" i="1" s="1"/>
  <c r="BF14" i="1"/>
  <c r="BG14" i="1" s="1"/>
  <c r="BA14" i="1"/>
  <c r="AY14" i="1"/>
  <c r="BC14" i="1" s="1"/>
  <c r="AW14" i="1"/>
  <c r="AQ14" i="1"/>
  <c r="AI14" i="1"/>
  <c r="AK14" i="1" s="1"/>
  <c r="CX13" i="1"/>
  <c r="CB13" i="1"/>
  <c r="BY13" i="1"/>
  <c r="BU13" i="1"/>
  <c r="BQ13" i="1"/>
  <c r="BG13" i="1"/>
  <c r="BA13" i="1"/>
  <c r="AY13" i="1"/>
  <c r="BC13" i="1" s="1"/>
  <c r="AW13" i="1"/>
  <c r="AQ13" i="1"/>
  <c r="AJ13" i="1"/>
  <c r="AI13" i="1"/>
  <c r="AD13" i="1"/>
  <c r="Y13" i="1"/>
  <c r="CX12" i="1"/>
  <c r="CB12" i="1"/>
  <c r="BY12" i="1"/>
  <c r="BU12" i="1"/>
  <c r="BQ12" i="1"/>
  <c r="BG12" i="1"/>
  <c r="BA12" i="1"/>
  <c r="AY12" i="1"/>
  <c r="BC12" i="1" s="1"/>
  <c r="AW12" i="1"/>
  <c r="AQ12" i="1"/>
  <c r="AJ12" i="1"/>
  <c r="AI12" i="1"/>
  <c r="AD12" i="1"/>
  <c r="Y12" i="1"/>
  <c r="CX11" i="1"/>
  <c r="CB11" i="1"/>
  <c r="BZ11" i="1"/>
  <c r="BA11" i="1"/>
  <c r="AY11" i="1"/>
  <c r="BC11" i="1" s="1"/>
  <c r="AK11" i="1"/>
  <c r="CX10" i="1"/>
  <c r="CA10" i="1"/>
  <c r="BY10" i="1"/>
  <c r="BU10" i="1"/>
  <c r="BQ10" i="1"/>
  <c r="BG10" i="1"/>
  <c r="BK10" i="1" s="1"/>
  <c r="AW10" i="1"/>
  <c r="BA10" i="1" s="1"/>
  <c r="AR10" i="1"/>
  <c r="AT10" i="1" s="1"/>
  <c r="AT9" i="1" s="1"/>
  <c r="AQ10" i="1"/>
  <c r="AM10" i="1"/>
  <c r="AJ10" i="1"/>
  <c r="AI10" i="1"/>
  <c r="Y10" i="1"/>
  <c r="CA9" i="1"/>
  <c r="BX9" i="1"/>
  <c r="BW9" i="1"/>
  <c r="BV9" i="1"/>
  <c r="BT9" i="1"/>
  <c r="BS9" i="1"/>
  <c r="BR9" i="1"/>
  <c r="BP9" i="1"/>
  <c r="BO9" i="1"/>
  <c r="BN9" i="1"/>
  <c r="BL9" i="1"/>
  <c r="BJ9" i="1"/>
  <c r="BH9" i="1"/>
  <c r="BF9" i="1"/>
  <c r="BE9" i="1"/>
  <c r="BD9" i="1"/>
  <c r="BB9" i="1"/>
  <c r="AZ9" i="1"/>
  <c r="AX9" i="1"/>
  <c r="AV9" i="1"/>
  <c r="AU9" i="1"/>
  <c r="AW9" i="1" s="1"/>
  <c r="AS9" i="1"/>
  <c r="AP9" i="1"/>
  <c r="AO9" i="1"/>
  <c r="AL9" i="1"/>
  <c r="CX8" i="1"/>
  <c r="CP8" i="1"/>
  <c r="CL8" i="1"/>
  <c r="BY8" i="1"/>
  <c r="BU8" i="1"/>
  <c r="BQ8" i="1"/>
  <c r="BG8" i="1"/>
  <c r="BK8" i="1" s="1"/>
  <c r="AX8" i="1"/>
  <c r="CA8" i="1" s="1"/>
  <c r="AU8" i="1"/>
  <c r="AW8" i="1" s="1"/>
  <c r="AT8" i="1"/>
  <c r="AQ8" i="1"/>
  <c r="AM8" i="1"/>
  <c r="AD8" i="1" s="1"/>
  <c r="AJ8" i="1"/>
  <c r="AI8" i="1"/>
  <c r="Y8" i="1"/>
  <c r="AA8" i="1" s="1"/>
  <c r="BX7" i="1"/>
  <c r="BW7" i="1"/>
  <c r="BV7" i="1"/>
  <c r="BT7" i="1"/>
  <c r="BS7" i="1"/>
  <c r="BR7" i="1"/>
  <c r="BP7" i="1"/>
  <c r="BO7" i="1"/>
  <c r="BN7" i="1"/>
  <c r="BL7" i="1"/>
  <c r="BJ7" i="1"/>
  <c r="BH7" i="1"/>
  <c r="BF7" i="1"/>
  <c r="BE7" i="1"/>
  <c r="BD7" i="1"/>
  <c r="BB7" i="1"/>
  <c r="AZ7" i="1"/>
  <c r="AX7" i="1"/>
  <c r="AV7" i="1"/>
  <c r="AT7" i="1"/>
  <c r="AT6" i="1" s="1"/>
  <c r="AS7" i="1"/>
  <c r="AR7" i="1"/>
  <c r="AP7" i="1"/>
  <c r="AO7" i="1"/>
  <c r="AQ7" i="1" s="1"/>
  <c r="AL7" i="1"/>
  <c r="AD7" i="1"/>
  <c r="AL6" i="1"/>
  <c r="AD21" i="1" l="1"/>
  <c r="BR21" i="1"/>
  <c r="BM76" i="1"/>
  <c r="BI130" i="1"/>
  <c r="AS6" i="1"/>
  <c r="BY22" i="1"/>
  <c r="AV47" i="1"/>
  <c r="AV193" i="1" s="1"/>
  <c r="AV195" i="1" s="1"/>
  <c r="BO47" i="1"/>
  <c r="AP47" i="1"/>
  <c r="AZ77" i="1"/>
  <c r="BD115" i="1"/>
  <c r="AD115" i="1"/>
  <c r="G29" i="13" s="1"/>
  <c r="BQ116" i="1"/>
  <c r="AT117" i="1"/>
  <c r="BF105" i="1"/>
  <c r="BI132" i="1"/>
  <c r="AZ133" i="1"/>
  <c r="BM163" i="1"/>
  <c r="BU166" i="1"/>
  <c r="P5" i="4"/>
  <c r="Z5" i="4"/>
  <c r="W16" i="4"/>
  <c r="R111" i="4"/>
  <c r="R184" i="4" s="1"/>
  <c r="R187" i="4" s="1"/>
  <c r="W133" i="4"/>
  <c r="AA137" i="4"/>
  <c r="G63" i="9"/>
  <c r="R63" i="9" s="1"/>
  <c r="BS105" i="1"/>
  <c r="G7" i="9"/>
  <c r="AX48" i="1"/>
  <c r="AX47" i="1" s="1"/>
  <c r="AQ57" i="1"/>
  <c r="BM119" i="1"/>
  <c r="BZ146" i="1"/>
  <c r="BI158" i="1"/>
  <c r="AA162" i="1"/>
  <c r="AD23" i="4"/>
  <c r="S42" i="4"/>
  <c r="AB42" i="4"/>
  <c r="AE42" i="4" s="1"/>
  <c r="P46" i="4"/>
  <c r="P23" i="4" s="1"/>
  <c r="P184" i="4" s="1"/>
  <c r="W49" i="4"/>
  <c r="U48" i="4"/>
  <c r="AF81" i="4"/>
  <c r="Q74" i="4"/>
  <c r="W119" i="4"/>
  <c r="Z146" i="4"/>
  <c r="Y146" i="4"/>
  <c r="W165" i="4"/>
  <c r="AF165" i="4" s="1"/>
  <c r="AA175" i="4"/>
  <c r="AA180" i="4"/>
  <c r="C7" i="6"/>
  <c r="H26" i="9"/>
  <c r="P26" i="9"/>
  <c r="G34" i="9"/>
  <c r="R34" i="9" s="1"/>
  <c r="R39" i="9"/>
  <c r="E42" i="9"/>
  <c r="N42" i="9"/>
  <c r="R68" i="9"/>
  <c r="R78" i="9"/>
  <c r="R82" i="9"/>
  <c r="R94" i="9"/>
  <c r="G103" i="9"/>
  <c r="BY39" i="1"/>
  <c r="AO6" i="1"/>
  <c r="Y48" i="1"/>
  <c r="BM53" i="1"/>
  <c r="AY55" i="1"/>
  <c r="BT47" i="1"/>
  <c r="BI82" i="1"/>
  <c r="AX105" i="1"/>
  <c r="BJ105" i="1"/>
  <c r="BM122" i="1"/>
  <c r="BE133" i="1"/>
  <c r="BP170" i="1"/>
  <c r="BQ178" i="1"/>
  <c r="AD178" i="1"/>
  <c r="G43" i="13" s="1"/>
  <c r="R74" i="4"/>
  <c r="AC74" i="4"/>
  <c r="AD111" i="4"/>
  <c r="D7" i="6"/>
  <c r="R117" i="9"/>
  <c r="BN77" i="1"/>
  <c r="AS105" i="1"/>
  <c r="AD48" i="4"/>
  <c r="BW6" i="1"/>
  <c r="BW20" i="1"/>
  <c r="CX22" i="1"/>
  <c r="BR20" i="1"/>
  <c r="BU20" i="1" s="1"/>
  <c r="D5" i="5" s="1"/>
  <c r="AW57" i="1"/>
  <c r="BG57" i="1"/>
  <c r="AP77" i="1"/>
  <c r="BX105" i="1"/>
  <c r="AP105" i="1"/>
  <c r="AV133" i="1"/>
  <c r="BZ177" i="1"/>
  <c r="X54" i="4"/>
  <c r="X48" i="4" s="1"/>
  <c r="AA48" i="4" s="1"/>
  <c r="AF63" i="4"/>
  <c r="AH62" i="4" s="1"/>
  <c r="AF65" i="4"/>
  <c r="S68" i="4"/>
  <c r="AF73" i="4"/>
  <c r="E7" i="6"/>
  <c r="I22" i="9"/>
  <c r="K87" i="9"/>
  <c r="R112" i="9"/>
  <c r="M111" i="9"/>
  <c r="P74" i="4"/>
  <c r="AU20" i="1"/>
  <c r="BT20" i="1"/>
  <c r="AD34" i="1"/>
  <c r="G14" i="13" s="1"/>
  <c r="BC52" i="1"/>
  <c r="AW75" i="1"/>
  <c r="BJ77" i="1"/>
  <c r="BJ193" i="1" s="1"/>
  <c r="BJ199" i="1" s="1"/>
  <c r="BB105" i="1"/>
  <c r="AT115" i="1"/>
  <c r="AR133" i="1"/>
  <c r="BH133" i="1"/>
  <c r="BT170" i="1"/>
  <c r="AY172" i="1"/>
  <c r="AA6" i="4"/>
  <c r="AF13" i="4"/>
  <c r="S18" i="4"/>
  <c r="AF20" i="4"/>
  <c r="Y23" i="4"/>
  <c r="AA62" i="4"/>
  <c r="AE89" i="4"/>
  <c r="AD98" i="4"/>
  <c r="AD184" i="4" s="1"/>
  <c r="AD187" i="4" s="1"/>
  <c r="AA112" i="4"/>
  <c r="AF115" i="4"/>
  <c r="AA119" i="4"/>
  <c r="AA136" i="4"/>
  <c r="B6" i="8"/>
  <c r="G11" i="9"/>
  <c r="R44" i="9"/>
  <c r="R48" i="9"/>
  <c r="O42" i="9"/>
  <c r="L87" i="9"/>
  <c r="D21" i="10"/>
  <c r="Q13" i="9"/>
  <c r="R13" i="9" s="1"/>
  <c r="J26" i="9"/>
  <c r="Q26" i="9"/>
  <c r="Q43" i="9"/>
  <c r="R43" i="9" s="1"/>
  <c r="N87" i="9"/>
  <c r="D98" i="9"/>
  <c r="M98" i="9"/>
  <c r="L121" i="9"/>
  <c r="R135" i="9"/>
  <c r="BY75" i="1"/>
  <c r="AS133" i="1"/>
  <c r="AD166" i="1"/>
  <c r="G40" i="13" s="1"/>
  <c r="L84" i="13" s="1"/>
  <c r="M84" i="13" s="1"/>
  <c r="AW178" i="1"/>
  <c r="AE133" i="4"/>
  <c r="S136" i="4"/>
  <c r="AF138" i="4"/>
  <c r="W175" i="4"/>
  <c r="M10" i="9"/>
  <c r="M22" i="9" s="1"/>
  <c r="M26" i="9"/>
  <c r="I65" i="9"/>
  <c r="Q74" i="9"/>
  <c r="N98" i="9"/>
  <c r="Q106" i="9"/>
  <c r="Q105" i="9" s="1"/>
  <c r="G122" i="9"/>
  <c r="R86" i="9"/>
  <c r="R108" i="9"/>
  <c r="I111" i="9"/>
  <c r="R118" i="9"/>
  <c r="R129" i="9"/>
  <c r="G133" i="9"/>
  <c r="AR105" i="1"/>
  <c r="BB20" i="1"/>
  <c r="BE47" i="1"/>
  <c r="BX47" i="1"/>
  <c r="AD70" i="1"/>
  <c r="BZ85" i="1"/>
  <c r="AK91" i="1"/>
  <c r="BI98" i="1"/>
  <c r="AY102" i="1"/>
  <c r="AZ105" i="1"/>
  <c r="AT105" i="1"/>
  <c r="AX133" i="1"/>
  <c r="BO133" i="1"/>
  <c r="BT133" i="1"/>
  <c r="AD140" i="1"/>
  <c r="G33" i="13" s="1"/>
  <c r="L77" i="13" s="1"/>
  <c r="M77" i="13" s="1"/>
  <c r="BG144" i="1"/>
  <c r="BI144" i="1" s="1"/>
  <c r="BY144" i="1"/>
  <c r="AD144" i="1"/>
  <c r="G34" i="13" s="1"/>
  <c r="BG152" i="1"/>
  <c r="BY152" i="1"/>
  <c r="AW154" i="1"/>
  <c r="BG157" i="1"/>
  <c r="AK159" i="1"/>
  <c r="Y157" i="1"/>
  <c r="AK161" i="1"/>
  <c r="Y162" i="1"/>
  <c r="BI163" i="1"/>
  <c r="AA171" i="1"/>
  <c r="AK183" i="1"/>
  <c r="I44" i="13" s="1"/>
  <c r="G45" i="13"/>
  <c r="AD183" i="1"/>
  <c r="G44" i="13" s="1"/>
  <c r="BI190" i="1"/>
  <c r="Q5" i="4"/>
  <c r="S5" i="4" s="1"/>
  <c r="X5" i="4"/>
  <c r="AA5" i="4" s="1"/>
  <c r="S10" i="4"/>
  <c r="AF11" i="4"/>
  <c r="AH10" i="4" s="1"/>
  <c r="T23" i="4"/>
  <c r="W24" i="4"/>
  <c r="AF27" i="4"/>
  <c r="Q23" i="4"/>
  <c r="V23" i="4"/>
  <c r="AE31" i="4"/>
  <c r="AB23" i="4"/>
  <c r="AF33" i="4"/>
  <c r="AA34" i="4"/>
  <c r="AF41" i="4"/>
  <c r="W42" i="4"/>
  <c r="AF44" i="4"/>
  <c r="AA46" i="4"/>
  <c r="Q48" i="4"/>
  <c r="V48" i="4"/>
  <c r="AF101" i="4"/>
  <c r="AF103" i="4"/>
  <c r="W106" i="4"/>
  <c r="P111" i="4"/>
  <c r="W112" i="4"/>
  <c r="AF117" i="4"/>
  <c r="BI27" i="1"/>
  <c r="BZ38" i="1"/>
  <c r="BS47" i="1"/>
  <c r="BQ70" i="1"/>
  <c r="BC76" i="1"/>
  <c r="BZ84" i="1"/>
  <c r="CB84" i="1" s="1"/>
  <c r="BT6" i="1"/>
  <c r="CX17" i="1"/>
  <c r="BV17" i="1"/>
  <c r="BY17" i="1" s="1"/>
  <c r="AR20" i="1"/>
  <c r="CX28" i="1"/>
  <c r="AD28" i="1"/>
  <c r="G13" i="13" s="1"/>
  <c r="BQ39" i="1"/>
  <c r="AY40" i="1"/>
  <c r="AK44" i="1"/>
  <c r="BF47" i="1"/>
  <c r="BY57" i="1"/>
  <c r="BG62" i="1"/>
  <c r="BV70" i="1"/>
  <c r="BV47" i="1" s="1"/>
  <c r="BQ75" i="1"/>
  <c r="AX78" i="1"/>
  <c r="AD94" i="1"/>
  <c r="G25" i="13" s="1"/>
  <c r="Y94" i="1"/>
  <c r="AK103" i="1"/>
  <c r="AU115" i="1"/>
  <c r="AU105" i="1" s="1"/>
  <c r="BI120" i="1"/>
  <c r="AK122" i="1"/>
  <c r="BC130" i="1"/>
  <c r="AA148" i="1"/>
  <c r="AA157" i="1"/>
  <c r="AA31" i="4"/>
  <c r="X23" i="4"/>
  <c r="AE55" i="4"/>
  <c r="AB54" i="4"/>
  <c r="W69" i="4"/>
  <c r="T68" i="4"/>
  <c r="AA94" i="4"/>
  <c r="X89" i="4"/>
  <c r="AA89" i="4" s="1"/>
  <c r="AE124" i="4"/>
  <c r="AC121" i="4"/>
  <c r="AC111" i="4" s="1"/>
  <c r="G7" i="13"/>
  <c r="CX15" i="1"/>
  <c r="G12" i="13"/>
  <c r="AQ47" i="1"/>
  <c r="C4" i="3" s="1"/>
  <c r="BI58" i="1"/>
  <c r="BI81" i="1"/>
  <c r="Y78" i="1"/>
  <c r="AY86" i="1"/>
  <c r="AO87" i="1"/>
  <c r="AQ87" i="1" s="1"/>
  <c r="BO6" i="1"/>
  <c r="AA7" i="1"/>
  <c r="AA6" i="1" s="1"/>
  <c r="AD9" i="1"/>
  <c r="G8" i="13" s="1"/>
  <c r="BU21" i="1"/>
  <c r="BQ40" i="1"/>
  <c r="AZ47" i="1"/>
  <c r="BK57" i="1"/>
  <c r="Y57" i="1"/>
  <c r="BM58" i="1"/>
  <c r="BC63" i="1"/>
  <c r="CX70" i="1"/>
  <c r="BG87" i="1"/>
  <c r="BY87" i="1"/>
  <c r="BI93" i="1"/>
  <c r="BZ95" i="1"/>
  <c r="CB95" i="1" s="1"/>
  <c r="AT94" i="1"/>
  <c r="AV6" i="1"/>
  <c r="CX7" i="1"/>
  <c r="BE6" i="1"/>
  <c r="AK12" i="1"/>
  <c r="BZ12" i="1"/>
  <c r="BZ13" i="1"/>
  <c r="AW15" i="1"/>
  <c r="BU15" i="1"/>
  <c r="BZ16" i="1"/>
  <c r="BL20" i="1"/>
  <c r="BL193" i="1" s="1"/>
  <c r="BL195" i="1" s="1"/>
  <c r="Y34" i="1"/>
  <c r="CX39" i="1"/>
  <c r="Y39" i="1"/>
  <c r="AR48" i="1"/>
  <c r="AR47" i="1" s="1"/>
  <c r="BP47" i="1"/>
  <c r="AD48" i="1"/>
  <c r="G17" i="13" s="1"/>
  <c r="L61" i="13" s="1"/>
  <c r="M61" i="13" s="1"/>
  <c r="AY52" i="1"/>
  <c r="AK56" i="1"/>
  <c r="AK48" i="1" s="1"/>
  <c r="AR57" i="1"/>
  <c r="AD57" i="1"/>
  <c r="G18" i="13" s="1"/>
  <c r="BC58" i="1"/>
  <c r="BG70" i="1"/>
  <c r="BM70" i="1" s="1"/>
  <c r="BI76" i="1"/>
  <c r="BF77" i="1"/>
  <c r="BX77" i="1"/>
  <c r="AK79" i="1"/>
  <c r="AR87" i="1"/>
  <c r="BU87" i="1"/>
  <c r="BZ88" i="1"/>
  <c r="BM93" i="1"/>
  <c r="BR94" i="1"/>
  <c r="BR77" i="1" s="1"/>
  <c r="BU77" i="1" s="1"/>
  <c r="D6" i="5" s="1"/>
  <c r="AV105" i="1"/>
  <c r="BP105" i="1"/>
  <c r="BI107" i="1"/>
  <c r="BN115" i="1"/>
  <c r="BN105" i="1" s="1"/>
  <c r="AK116" i="1"/>
  <c r="AY119" i="1"/>
  <c r="BM120" i="1"/>
  <c r="AK124" i="1"/>
  <c r="BG127" i="1"/>
  <c r="BM127" i="1" s="1"/>
  <c r="G30" i="13"/>
  <c r="BM132" i="1"/>
  <c r="AU133" i="1"/>
  <c r="BB133" i="1"/>
  <c r="AW144" i="1"/>
  <c r="BQ144" i="1"/>
  <c r="AD148" i="1"/>
  <c r="G35" i="13" s="1"/>
  <c r="AQ152" i="1"/>
  <c r="AW152" i="1"/>
  <c r="BC152" i="1" s="1"/>
  <c r="Q80" i="13" s="1"/>
  <c r="BQ152" i="1"/>
  <c r="AY153" i="1"/>
  <c r="BU154" i="1"/>
  <c r="AQ157" i="1"/>
  <c r="AW157" i="1"/>
  <c r="BM158" i="1"/>
  <c r="AK160" i="1"/>
  <c r="BW170" i="1"/>
  <c r="BC172" i="1"/>
  <c r="T5" i="4"/>
  <c r="AB5" i="4"/>
  <c r="AE5" i="4" s="1"/>
  <c r="AE6" i="4"/>
  <c r="AA16" i="4"/>
  <c r="W18" i="4"/>
  <c r="AA49" i="4"/>
  <c r="W54" i="4"/>
  <c r="AF55" i="4"/>
  <c r="AF60" i="4"/>
  <c r="W74" i="4"/>
  <c r="W75" i="4"/>
  <c r="AF79" i="4"/>
  <c r="AF82" i="4"/>
  <c r="S84" i="4"/>
  <c r="AF88" i="4"/>
  <c r="S89" i="4"/>
  <c r="AF90" i="4"/>
  <c r="W99" i="4"/>
  <c r="T98" i="4"/>
  <c r="W98" i="4" s="1"/>
  <c r="Z98" i="4"/>
  <c r="Z184" i="4" s="1"/>
  <c r="Z187" i="4" s="1"/>
  <c r="X100" i="4"/>
  <c r="W100" i="4"/>
  <c r="Y111" i="4"/>
  <c r="Y184" i="4" s="1"/>
  <c r="Y187" i="4" s="1"/>
  <c r="W123" i="4"/>
  <c r="T121" i="4"/>
  <c r="AA124" i="4"/>
  <c r="P146" i="4"/>
  <c r="AF148" i="4"/>
  <c r="W153" i="4"/>
  <c r="BL105" i="1"/>
  <c r="AQ118" i="1"/>
  <c r="BG118" i="1"/>
  <c r="AA115" i="1"/>
  <c r="BC119" i="1"/>
  <c r="AW131" i="1"/>
  <c r="BL133" i="1"/>
  <c r="BX133" i="1"/>
  <c r="CX144" i="1"/>
  <c r="BQ162" i="1"/>
  <c r="BO170" i="1"/>
  <c r="BB170" i="1"/>
  <c r="BH170" i="1"/>
  <c r="AT170" i="1"/>
  <c r="CX184" i="1"/>
  <c r="V184" i="4"/>
  <c r="V187" i="4" s="1"/>
  <c r="W10" i="4"/>
  <c r="U5" i="4"/>
  <c r="S54" i="4"/>
  <c r="P48" i="4"/>
  <c r="AE84" i="4"/>
  <c r="AB74" i="4"/>
  <c r="AE74" i="4" s="1"/>
  <c r="AB119" i="4"/>
  <c r="AE119" i="4" s="1"/>
  <c r="AE120" i="4"/>
  <c r="AF120" i="4" s="1"/>
  <c r="AH119" i="4" s="1"/>
  <c r="S121" i="4"/>
  <c r="S111" i="4" s="1"/>
  <c r="AF14" i="4"/>
  <c r="S16" i="4"/>
  <c r="AE18" i="4"/>
  <c r="AE24" i="4"/>
  <c r="AF29" i="4"/>
  <c r="W31" i="4"/>
  <c r="S34" i="4"/>
  <c r="AF35" i="4"/>
  <c r="AH34" i="4" s="1"/>
  <c r="AF36" i="4"/>
  <c r="AF37" i="4"/>
  <c r="AF38" i="4"/>
  <c r="AA42" i="4"/>
  <c r="AE46" i="4"/>
  <c r="AF47" i="4"/>
  <c r="AH46" i="4" s="1"/>
  <c r="S49" i="4"/>
  <c r="AF49" i="4" s="1"/>
  <c r="AF59" i="4"/>
  <c r="W62" i="4"/>
  <c r="AA68" i="4"/>
  <c r="AE68" i="4"/>
  <c r="AF71" i="4"/>
  <c r="AE75" i="4"/>
  <c r="AF75" i="4" s="1"/>
  <c r="AF76" i="4"/>
  <c r="AF77" i="4"/>
  <c r="AH75" i="4" s="1"/>
  <c r="AA84" i="4"/>
  <c r="AF86" i="4"/>
  <c r="AF91" i="4"/>
  <c r="AF92" i="4"/>
  <c r="AF93" i="4"/>
  <c r="AF94" i="4"/>
  <c r="AF95" i="4"/>
  <c r="S99" i="4"/>
  <c r="AE106" i="4"/>
  <c r="S112" i="4"/>
  <c r="AF113" i="4"/>
  <c r="AH112" i="4" s="1"/>
  <c r="AF118" i="4"/>
  <c r="S119" i="4"/>
  <c r="W124" i="4"/>
  <c r="AF125" i="4"/>
  <c r="AF126" i="4"/>
  <c r="AF127" i="4"/>
  <c r="AF128" i="4"/>
  <c r="AF129" i="4"/>
  <c r="AF132" i="4"/>
  <c r="AF134" i="4"/>
  <c r="AH133" i="4" s="1"/>
  <c r="AF142" i="4"/>
  <c r="AF143" i="4"/>
  <c r="AF144" i="4"/>
  <c r="AF145" i="4"/>
  <c r="S147" i="4"/>
  <c r="AF156" i="4"/>
  <c r="AF158" i="4"/>
  <c r="AH157" i="4" s="1"/>
  <c r="AF159" i="4"/>
  <c r="AF160" i="4"/>
  <c r="S165" i="4"/>
  <c r="AF166" i="4"/>
  <c r="AH165" i="4" s="1"/>
  <c r="W167" i="4"/>
  <c r="AF168" i="4"/>
  <c r="AH167" i="4" s="1"/>
  <c r="AF169" i="4"/>
  <c r="AE170" i="4"/>
  <c r="Q121" i="9"/>
  <c r="S6" i="4"/>
  <c r="AF6" i="4" s="1"/>
  <c r="AF7" i="4"/>
  <c r="AH6" i="4" s="1"/>
  <c r="AA10" i="4"/>
  <c r="AF15" i="4"/>
  <c r="AE16" i="4"/>
  <c r="AA18" i="4"/>
  <c r="AF18" i="4" s="1"/>
  <c r="AA24" i="4"/>
  <c r="AF30" i="4"/>
  <c r="S31" i="4"/>
  <c r="AF32" i="4"/>
  <c r="AH31" i="4" s="1"/>
  <c r="AE34" i="4"/>
  <c r="AE49" i="4"/>
  <c r="AF50" i="4"/>
  <c r="AH49" i="4" s="1"/>
  <c r="AF57" i="4"/>
  <c r="AF58" i="4"/>
  <c r="S62" i="4"/>
  <c r="AF62" i="4" s="1"/>
  <c r="X74" i="4"/>
  <c r="AA74" i="4" s="1"/>
  <c r="AA75" i="4"/>
  <c r="AF78" i="4"/>
  <c r="W84" i="4"/>
  <c r="W89" i="4"/>
  <c r="AF89" i="4" s="1"/>
  <c r="AF96" i="4"/>
  <c r="AA106" i="4"/>
  <c r="AF109" i="4"/>
  <c r="AF110" i="4"/>
  <c r="AE112" i="4"/>
  <c r="AF114" i="4"/>
  <c r="U121" i="4"/>
  <c r="U111" i="4" s="1"/>
  <c r="S124" i="4"/>
  <c r="S133" i="4"/>
  <c r="W136" i="4"/>
  <c r="W137" i="4"/>
  <c r="AF137" i="4" s="1"/>
  <c r="Q146" i="4"/>
  <c r="S146" i="4" s="1"/>
  <c r="AA153" i="4"/>
  <c r="AA155" i="4"/>
  <c r="AF155" i="4" s="1"/>
  <c r="AH153" i="4" s="1"/>
  <c r="AE147" i="4"/>
  <c r="AF149" i="4"/>
  <c r="S153" i="4"/>
  <c r="AE157" i="4"/>
  <c r="S161" i="4"/>
  <c r="AE165" i="4"/>
  <c r="S167" i="4"/>
  <c r="S170" i="4"/>
  <c r="AF172" i="4"/>
  <c r="AF173" i="4"/>
  <c r="AF174" i="4"/>
  <c r="S175" i="4"/>
  <c r="AF176" i="4"/>
  <c r="AH175" i="4" s="1"/>
  <c r="W180" i="4"/>
  <c r="AF181" i="4"/>
  <c r="AF182" i="4"/>
  <c r="AF183" i="4"/>
  <c r="G10" i="9"/>
  <c r="J24" i="9"/>
  <c r="N24" i="9"/>
  <c r="Q42" i="9"/>
  <c r="G50" i="9"/>
  <c r="R50" i="9" s="1"/>
  <c r="R51" i="9"/>
  <c r="I87" i="9"/>
  <c r="I24" i="9" s="1"/>
  <c r="I136" i="9" s="1"/>
  <c r="I139" i="9" s="1"/>
  <c r="M87" i="9"/>
  <c r="M24" i="9" s="1"/>
  <c r="M136" i="9" s="1"/>
  <c r="M139" i="9" s="1"/>
  <c r="Q87" i="9"/>
  <c r="G93" i="9"/>
  <c r="R93" i="9" s="1"/>
  <c r="G99" i="9"/>
  <c r="R99" i="9" s="1"/>
  <c r="R125" i="9"/>
  <c r="R126" i="9"/>
  <c r="R128" i="9"/>
  <c r="R130" i="9"/>
  <c r="R132" i="9"/>
  <c r="AF130" i="4"/>
  <c r="AF131" i="4"/>
  <c r="AA133" i="4"/>
  <c r="AF133" i="4" s="1"/>
  <c r="AE136" i="4"/>
  <c r="AE137" i="4"/>
  <c r="AC146" i="4"/>
  <c r="AA147" i="4"/>
  <c r="AF150" i="4"/>
  <c r="AF151" i="4"/>
  <c r="AE153" i="4"/>
  <c r="AA157" i="4"/>
  <c r="AF157" i="4" s="1"/>
  <c r="AA165" i="4"/>
  <c r="AE167" i="4"/>
  <c r="AE175" i="4"/>
  <c r="S180" i="4"/>
  <c r="AE180" i="4"/>
  <c r="C18" i="6"/>
  <c r="B18" i="6"/>
  <c r="G22" i="9"/>
  <c r="F22" i="9"/>
  <c r="P22" i="9"/>
  <c r="G27" i="9"/>
  <c r="R27" i="9" s="1"/>
  <c r="R28" i="9"/>
  <c r="G30" i="9"/>
  <c r="R30" i="9" s="1"/>
  <c r="R31" i="9"/>
  <c r="R33" i="9"/>
  <c r="G38" i="9"/>
  <c r="Q38" i="9"/>
  <c r="Q37" i="9" s="1"/>
  <c r="F42" i="9"/>
  <c r="F24" i="9" s="1"/>
  <c r="R45" i="9"/>
  <c r="R47" i="9"/>
  <c r="R49" i="9"/>
  <c r="G54" i="9"/>
  <c r="R54" i="9" s="1"/>
  <c r="R55" i="9"/>
  <c r="G57" i="9"/>
  <c r="R57" i="9" s="1"/>
  <c r="R58" i="9"/>
  <c r="G61" i="9"/>
  <c r="R61" i="9" s="1"/>
  <c r="R62" i="9"/>
  <c r="E65" i="9"/>
  <c r="G65" i="9" s="1"/>
  <c r="R67" i="9"/>
  <c r="R69" i="9"/>
  <c r="G71" i="9"/>
  <c r="R75" i="9"/>
  <c r="R77" i="9"/>
  <c r="R79" i="9"/>
  <c r="R81" i="9"/>
  <c r="G84" i="9"/>
  <c r="R84" i="9" s="1"/>
  <c r="R85" i="9"/>
  <c r="G88" i="9"/>
  <c r="R88" i="9" s="1"/>
  <c r="R89" i="9"/>
  <c r="K98" i="9"/>
  <c r="O98" i="9"/>
  <c r="R116" i="9"/>
  <c r="R15" i="9"/>
  <c r="Q19" i="9"/>
  <c r="R19" i="9" s="1"/>
  <c r="D26" i="9"/>
  <c r="G26" i="9" s="1"/>
  <c r="R26" i="9" s="1"/>
  <c r="R35" i="9"/>
  <c r="G37" i="9"/>
  <c r="R37" i="9" s="1"/>
  <c r="H42" i="9"/>
  <c r="H24" i="9" s="1"/>
  <c r="L42" i="9"/>
  <c r="P42" i="9"/>
  <c r="P24" i="9" s="1"/>
  <c r="K65" i="9"/>
  <c r="O65" i="9"/>
  <c r="O24" i="9" s="1"/>
  <c r="O136" i="9" s="1"/>
  <c r="O139" i="9" s="1"/>
  <c r="Q71" i="9"/>
  <c r="Q65" i="9" s="1"/>
  <c r="G74" i="9"/>
  <c r="R74" i="9" s="1"/>
  <c r="R95" i="9"/>
  <c r="R97" i="9"/>
  <c r="R101" i="9"/>
  <c r="G106" i="9"/>
  <c r="R107" i="9"/>
  <c r="R109" i="9"/>
  <c r="D111" i="9"/>
  <c r="G111" i="9" s="1"/>
  <c r="R111" i="9" s="1"/>
  <c r="G114" i="9"/>
  <c r="R114" i="9" s="1"/>
  <c r="R119" i="9"/>
  <c r="G121" i="9"/>
  <c r="R121" i="9" s="1"/>
  <c r="R133" i="9"/>
  <c r="B15" i="6"/>
  <c r="D2" i="7"/>
  <c r="E2" i="7" s="1"/>
  <c r="B13" i="8"/>
  <c r="H136" i="9"/>
  <c r="H139" i="9" s="1"/>
  <c r="J11" i="9"/>
  <c r="J10" i="9" s="1"/>
  <c r="J22" i="9" s="1"/>
  <c r="Q18" i="9"/>
  <c r="R18" i="9" s="1"/>
  <c r="Q98" i="9"/>
  <c r="R103" i="9"/>
  <c r="R122" i="9"/>
  <c r="BY78" i="1"/>
  <c r="AD162" i="1"/>
  <c r="G39" i="13" s="1"/>
  <c r="BG171" i="1"/>
  <c r="AW171" i="1"/>
  <c r="BC171" i="1" s="1"/>
  <c r="Q86" i="13" s="1"/>
  <c r="AK175" i="1"/>
  <c r="AD171" i="1"/>
  <c r="AO77" i="1"/>
  <c r="AQ77" i="1" s="1"/>
  <c r="AV77" i="1"/>
  <c r="BP77" i="1"/>
  <c r="BQ77" i="1" s="1"/>
  <c r="CA94" i="1"/>
  <c r="BM98" i="1"/>
  <c r="BG94" i="1"/>
  <c r="BK94" i="1" s="1"/>
  <c r="BY94" i="1"/>
  <c r="AW94" i="1"/>
  <c r="AY94" i="1" s="1"/>
  <c r="BQ94" i="1"/>
  <c r="AK98" i="1"/>
  <c r="G24" i="13"/>
  <c r="BQ78" i="1"/>
  <c r="BD77" i="1"/>
  <c r="BG77" i="1" s="1"/>
  <c r="BI77" i="1" s="1"/>
  <c r="O66" i="13" s="1"/>
  <c r="BV77" i="1"/>
  <c r="BY77" i="1" s="1"/>
  <c r="E6" i="5" s="1"/>
  <c r="AR77" i="1"/>
  <c r="BB77" i="1"/>
  <c r="AK158" i="1"/>
  <c r="CX48" i="1"/>
  <c r="BY62" i="1"/>
  <c r="BQ62" i="1"/>
  <c r="AD62" i="1"/>
  <c r="G19" i="13" s="1"/>
  <c r="Y62" i="1"/>
  <c r="BU7" i="1"/>
  <c r="BQ17" i="1"/>
  <c r="BQ7" i="1"/>
  <c r="AK8" i="1"/>
  <c r="AK7" i="1" s="1"/>
  <c r="Y9" i="1"/>
  <c r="AK13" i="1"/>
  <c r="BY15" i="1"/>
  <c r="AD17" i="1"/>
  <c r="G10" i="13" s="1"/>
  <c r="L54" i="13" s="1"/>
  <c r="M54" i="13" s="1"/>
  <c r="BQ21" i="1"/>
  <c r="AK23" i="1"/>
  <c r="AK24" i="1"/>
  <c r="BM27" i="1"/>
  <c r="AQ28" i="1"/>
  <c r="BQ28" i="1"/>
  <c r="BZ36" i="1"/>
  <c r="BZ37" i="1"/>
  <c r="AQ39" i="1"/>
  <c r="AA43" i="1"/>
  <c r="AA39" i="1" s="1"/>
  <c r="BN47" i="1"/>
  <c r="BG48" i="1"/>
  <c r="BM48" i="1" s="1"/>
  <c r="BU48" i="1"/>
  <c r="BI49" i="1"/>
  <c r="AK53" i="1"/>
  <c r="BI53" i="1"/>
  <c r="BI55" i="1"/>
  <c r="AY56" i="1"/>
  <c r="CX57" i="1"/>
  <c r="BI57" i="1"/>
  <c r="O62" i="13" s="1"/>
  <c r="AY58" i="1"/>
  <c r="BU62" i="1"/>
  <c r="AY63" i="1"/>
  <c r="AA62" i="1"/>
  <c r="AA70" i="1"/>
  <c r="BU75" i="1"/>
  <c r="AY76" i="1"/>
  <c r="AQ78" i="1"/>
  <c r="AU78" i="1"/>
  <c r="BZ81" i="1"/>
  <c r="CB81" i="1" s="1"/>
  <c r="Y87" i="1"/>
  <c r="AX87" i="1"/>
  <c r="AX77" i="1" s="1"/>
  <c r="AT87" i="1"/>
  <c r="AT77" i="1" s="1"/>
  <c r="AA21" i="1"/>
  <c r="AA48" i="1"/>
  <c r="BM55" i="1"/>
  <c r="AK70" i="1"/>
  <c r="I20" i="13" s="1"/>
  <c r="Y7" i="1"/>
  <c r="AP6" i="1"/>
  <c r="BP6" i="1"/>
  <c r="BY7" i="1"/>
  <c r="AA9" i="1"/>
  <c r="BU9" i="1"/>
  <c r="AK10" i="1"/>
  <c r="BQ15" i="1"/>
  <c r="BU17" i="1"/>
  <c r="BY21" i="1"/>
  <c r="BZ24" i="1"/>
  <c r="BZ27" i="1"/>
  <c r="AA28" i="1"/>
  <c r="BU39" i="1"/>
  <c r="BZ40" i="1"/>
  <c r="CB40" i="1" s="1"/>
  <c r="BI40" i="1"/>
  <c r="BZ44" i="1"/>
  <c r="BZ46" i="1"/>
  <c r="AO47" i="1"/>
  <c r="BD47" i="1"/>
  <c r="AU48" i="1"/>
  <c r="BH48" i="1"/>
  <c r="BH47" i="1" s="1"/>
  <c r="AY49" i="1"/>
  <c r="BM49" i="1"/>
  <c r="AK52" i="1"/>
  <c r="BI52" i="1"/>
  <c r="BC55" i="1"/>
  <c r="AT48" i="1"/>
  <c r="AT47" i="1" s="1"/>
  <c r="BA57" i="1"/>
  <c r="P62" i="13" s="1"/>
  <c r="BM57" i="1"/>
  <c r="BU57" i="1"/>
  <c r="BZ58" i="1"/>
  <c r="CF57" i="1" s="1"/>
  <c r="CX62" i="1"/>
  <c r="BZ63" i="1"/>
  <c r="BZ62" i="1" s="1"/>
  <c r="CB62" i="1" s="1"/>
  <c r="AK69" i="1"/>
  <c r="AK62" i="1" s="1"/>
  <c r="I19" i="13" s="1"/>
  <c r="BU70" i="1"/>
  <c r="BZ71" i="1"/>
  <c r="BI71" i="1"/>
  <c r="Y75" i="1"/>
  <c r="L65" i="13" s="1"/>
  <c r="M65" i="13" s="1"/>
  <c r="CX75" i="1"/>
  <c r="BU78" i="1"/>
  <c r="BZ79" i="1"/>
  <c r="AY81" i="1"/>
  <c r="BM81" i="1"/>
  <c r="AK82" i="1"/>
  <c r="BM82" i="1"/>
  <c r="AK86" i="1"/>
  <c r="BZ86" i="1"/>
  <c r="BI86" i="1"/>
  <c r="AU87" i="1"/>
  <c r="AW87" i="1" s="1"/>
  <c r="BA98" i="1"/>
  <c r="BC98" i="1"/>
  <c r="AY98" i="1"/>
  <c r="BZ26" i="1"/>
  <c r="BM40" i="1"/>
  <c r="AD42" i="1"/>
  <c r="BY48" i="1"/>
  <c r="BM52" i="1"/>
  <c r="BQ57" i="1"/>
  <c r="BQ47" i="1" s="1"/>
  <c r="C4" i="5" s="1"/>
  <c r="BM71" i="1"/>
  <c r="BC81" i="1"/>
  <c r="BZ91" i="1"/>
  <c r="CB91" i="1" s="1"/>
  <c r="BU94" i="1"/>
  <c r="BZ96" i="1"/>
  <c r="BI102" i="1"/>
  <c r="AK104" i="1"/>
  <c r="BO105" i="1"/>
  <c r="AY107" i="1"/>
  <c r="AK108" i="1"/>
  <c r="AK111" i="1"/>
  <c r="AK112" i="1"/>
  <c r="Y113" i="1"/>
  <c r="L72" i="13" s="1"/>
  <c r="M72" i="13" s="1"/>
  <c r="AQ113" i="1"/>
  <c r="BQ113" i="1"/>
  <c r="BU113" i="1"/>
  <c r="AO115" i="1"/>
  <c r="AQ115" i="1" s="1"/>
  <c r="AK117" i="1"/>
  <c r="BY118" i="1"/>
  <c r="AK120" i="1"/>
  <c r="BI124" i="1"/>
  <c r="BZ130" i="1"/>
  <c r="CB130" i="1" s="1"/>
  <c r="Y131" i="1"/>
  <c r="BG131" i="1"/>
  <c r="BI131" i="1" s="1"/>
  <c r="O74" i="13" s="1"/>
  <c r="BY131" i="1"/>
  <c r="AY132" i="1"/>
  <c r="AQ140" i="1"/>
  <c r="AW140" i="1"/>
  <c r="AY140" i="1" s="1"/>
  <c r="BU140" i="1"/>
  <c r="BZ147" i="1"/>
  <c r="BG148" i="1"/>
  <c r="BK148" i="1" s="1"/>
  <c r="BP133" i="1"/>
  <c r="BU152" i="1"/>
  <c r="AK153" i="1"/>
  <c r="AK152" i="1" s="1"/>
  <c r="I36" i="13" s="1"/>
  <c r="BI153" i="1"/>
  <c r="BY154" i="1"/>
  <c r="BG156" i="1"/>
  <c r="BM156" i="1" s="1"/>
  <c r="BN157" i="1"/>
  <c r="CX157" i="1" s="1"/>
  <c r="AY158" i="1"/>
  <c r="AW162" i="1"/>
  <c r="BC162" i="1" s="1"/>
  <c r="Q83" i="13" s="1"/>
  <c r="AY163" i="1"/>
  <c r="AW166" i="1"/>
  <c r="BN166" i="1"/>
  <c r="BQ166" i="1" s="1"/>
  <c r="BZ167" i="1"/>
  <c r="BI168" i="1"/>
  <c r="BE170" i="1"/>
  <c r="BG170" i="1" s="1"/>
  <c r="AK173" i="1"/>
  <c r="BZ175" i="1"/>
  <c r="AY190" i="1"/>
  <c r="BZ93" i="1"/>
  <c r="CB93" i="1" s="1"/>
  <c r="BM102" i="1"/>
  <c r="CX106" i="1"/>
  <c r="BC107" i="1"/>
  <c r="Y115" i="1"/>
  <c r="BG115" i="1"/>
  <c r="BK115" i="1" s="1"/>
  <c r="CX117" i="1"/>
  <c r="BU118" i="1"/>
  <c r="BK119" i="1"/>
  <c r="BZ119" i="1"/>
  <c r="BZ122" i="1"/>
  <c r="BZ123" i="1"/>
  <c r="BM124" i="1"/>
  <c r="BZ127" i="1"/>
  <c r="CB127" i="1" s="1"/>
  <c r="BU131" i="1"/>
  <c r="AA131" i="1"/>
  <c r="BC132" i="1"/>
  <c r="BM153" i="1"/>
  <c r="AA154" i="1"/>
  <c r="BC158" i="1"/>
  <c r="BG162" i="1"/>
  <c r="BY162" i="1"/>
  <c r="BC163" i="1"/>
  <c r="BM168" i="1"/>
  <c r="CX172" i="1"/>
  <c r="BI175" i="1"/>
  <c r="Y178" i="1"/>
  <c r="L87" i="13" s="1"/>
  <c r="M87" i="13" s="1"/>
  <c r="CX178" i="1"/>
  <c r="AW184" i="1"/>
  <c r="BC190" i="1"/>
  <c r="BQ87" i="1"/>
  <c r="AA87" i="1"/>
  <c r="AK92" i="1"/>
  <c r="AK87" i="1" s="1"/>
  <c r="I24" i="13" s="1"/>
  <c r="CX94" i="1"/>
  <c r="BZ98" i="1"/>
  <c r="CB98" i="1" s="1"/>
  <c r="BC102" i="1"/>
  <c r="BD105" i="1"/>
  <c r="BE105" i="1"/>
  <c r="BW105" i="1"/>
  <c r="BZ107" i="1"/>
  <c r="CF106" i="1" s="1"/>
  <c r="AK109" i="1"/>
  <c r="BG117" i="1"/>
  <c r="BM117" i="1" s="1"/>
  <c r="BQ118" i="1"/>
  <c r="AK119" i="1"/>
  <c r="BI119" i="1"/>
  <c r="BZ120" i="1"/>
  <c r="BI122" i="1"/>
  <c r="AK123" i="1"/>
  <c r="BZ126" i="1"/>
  <c r="AY127" i="1"/>
  <c r="AY130" i="1"/>
  <c r="BM130" i="1"/>
  <c r="AQ131" i="1"/>
  <c r="BQ131" i="1"/>
  <c r="BZ132" i="1"/>
  <c r="CF131" i="1" s="1"/>
  <c r="Y134" i="1"/>
  <c r="BD134" i="1"/>
  <c r="BU134" i="1"/>
  <c r="AK135" i="1"/>
  <c r="BG136" i="1"/>
  <c r="BZ136" i="1" s="1"/>
  <c r="AQ144" i="1"/>
  <c r="BS133" i="1"/>
  <c r="Y148" i="1"/>
  <c r="AQ148" i="1"/>
  <c r="BN148" i="1"/>
  <c r="BQ148" i="1" s="1"/>
  <c r="AA152" i="1"/>
  <c r="CX152" i="1"/>
  <c r="Y152" i="1"/>
  <c r="L80" i="13" s="1"/>
  <c r="M80" i="13" s="1"/>
  <c r="BC153" i="1"/>
  <c r="AQ154" i="1"/>
  <c r="BQ154" i="1"/>
  <c r="BY157" i="1"/>
  <c r="BQ158" i="1"/>
  <c r="BU162" i="1"/>
  <c r="BZ163" i="1"/>
  <c r="BD166" i="1"/>
  <c r="BG166" i="1" s="1"/>
  <c r="BI166" i="1" s="1"/>
  <c r="O84" i="13" s="1"/>
  <c r="BY166" i="1"/>
  <c r="BZ168" i="1"/>
  <c r="CB168" i="1" s="1"/>
  <c r="BZ169" i="1"/>
  <c r="CB169" i="1" s="1"/>
  <c r="AO170" i="1"/>
  <c r="AQ170" i="1" s="1"/>
  <c r="AU170" i="1"/>
  <c r="AW170" i="1" s="1"/>
  <c r="AY170" i="1" s="1"/>
  <c r="BG172" i="1"/>
  <c r="BM172" i="1" s="1"/>
  <c r="AK174" i="1"/>
  <c r="BU174" i="1"/>
  <c r="BM175" i="1"/>
  <c r="BG178" i="1"/>
  <c r="BM178" i="1" s="1"/>
  <c r="BY178" i="1"/>
  <c r="AA178" i="1"/>
  <c r="BZ190" i="1"/>
  <c r="CB190" i="1" s="1"/>
  <c r="BZ102" i="1"/>
  <c r="CB102" i="1" s="1"/>
  <c r="AD106" i="1"/>
  <c r="G27" i="13" s="1"/>
  <c r="BQ115" i="1"/>
  <c r="BZ124" i="1"/>
  <c r="BI148" i="1"/>
  <c r="BZ153" i="1"/>
  <c r="CF152" i="1" s="1"/>
  <c r="AQ178" i="1"/>
  <c r="BU178" i="1"/>
  <c r="BY28" i="1"/>
  <c r="BU28" i="1"/>
  <c r="AW28" i="1"/>
  <c r="BA28" i="1" s="1"/>
  <c r="P57" i="13" s="1"/>
  <c r="AK33" i="1"/>
  <c r="AK32" i="1"/>
  <c r="AK30" i="1"/>
  <c r="BZ14" i="1"/>
  <c r="BQ9" i="1"/>
  <c r="AQ6" i="1"/>
  <c r="C3" i="3" s="1"/>
  <c r="BS6" i="1"/>
  <c r="BF6" i="1"/>
  <c r="BX6" i="1"/>
  <c r="AQ9" i="1"/>
  <c r="CX9" i="1"/>
  <c r="BG9" i="1"/>
  <c r="BM9" i="1" s="1"/>
  <c r="BY9" i="1"/>
  <c r="AK132" i="1"/>
  <c r="AK131" i="1" s="1"/>
  <c r="I30" i="13" s="1"/>
  <c r="CA7" i="1"/>
  <c r="CF39" i="1"/>
  <c r="BZ70" i="1"/>
  <c r="CB70" i="1" s="1"/>
  <c r="CF70" i="1"/>
  <c r="CB71" i="1"/>
  <c r="BM77" i="1"/>
  <c r="BI78" i="1"/>
  <c r="O67" i="13" s="1"/>
  <c r="BM78" i="1"/>
  <c r="CA78" i="1"/>
  <c r="CB86" i="1"/>
  <c r="BA87" i="1"/>
  <c r="P68" i="13" s="1"/>
  <c r="BK87" i="1"/>
  <c r="CB107" i="1"/>
  <c r="I7" i="13"/>
  <c r="L52" i="13"/>
  <c r="M52" i="13" s="1"/>
  <c r="Y6" i="1"/>
  <c r="BA8" i="1"/>
  <c r="BZ8" i="1"/>
  <c r="CB8" i="1" s="1"/>
  <c r="BC8" i="1"/>
  <c r="BC9" i="1"/>
  <c r="Q52" i="13" s="1"/>
  <c r="BA9" i="1"/>
  <c r="P52" i="13" s="1"/>
  <c r="AY9" i="1"/>
  <c r="CF15" i="1"/>
  <c r="CB16" i="1"/>
  <c r="BZ18" i="1"/>
  <c r="BC21" i="1"/>
  <c r="Q56" i="13" s="1"/>
  <c r="BA21" i="1"/>
  <c r="P56" i="13" s="1"/>
  <c r="AY21" i="1"/>
  <c r="AY28" i="1"/>
  <c r="BC28" i="1"/>
  <c r="Q57" i="13" s="1"/>
  <c r="BC39" i="1"/>
  <c r="Q59" i="13" s="1"/>
  <c r="BA39" i="1"/>
  <c r="P59" i="13" s="1"/>
  <c r="AY39" i="1"/>
  <c r="BM39" i="1"/>
  <c r="BK39" i="1"/>
  <c r="BI39" i="1"/>
  <c r="O59" i="13" s="1"/>
  <c r="B4" i="5"/>
  <c r="BZ49" i="1"/>
  <c r="BC49" i="1"/>
  <c r="BA49" i="1"/>
  <c r="BK49" i="1"/>
  <c r="BZ56" i="1"/>
  <c r="BC56" i="1"/>
  <c r="BA56" i="1"/>
  <c r="AY57" i="1"/>
  <c r="BC57" i="1"/>
  <c r="Q62" i="13" s="1"/>
  <c r="BC62" i="1"/>
  <c r="Q63" i="13" s="1"/>
  <c r="BA62" i="1"/>
  <c r="P63" i="13" s="1"/>
  <c r="AY62" i="1"/>
  <c r="BM62" i="1"/>
  <c r="BK62" i="1"/>
  <c r="BI62" i="1"/>
  <c r="O63" i="13" s="1"/>
  <c r="BC70" i="1"/>
  <c r="Q64" i="13" s="1"/>
  <c r="BA70" i="1"/>
  <c r="P64" i="13" s="1"/>
  <c r="AY70" i="1"/>
  <c r="BI70" i="1"/>
  <c r="O64" i="13" s="1"/>
  <c r="BC75" i="1"/>
  <c r="Q65" i="13" s="1"/>
  <c r="BA75" i="1"/>
  <c r="P65" i="13" s="1"/>
  <c r="AY75" i="1"/>
  <c r="BM75" i="1"/>
  <c r="BK75" i="1"/>
  <c r="BI75" i="1"/>
  <c r="O65" i="13" s="1"/>
  <c r="BK78" i="1"/>
  <c r="CB79" i="1"/>
  <c r="BZ82" i="1"/>
  <c r="BC82" i="1"/>
  <c r="BA82" i="1"/>
  <c r="CB85" i="1"/>
  <c r="BC87" i="1"/>
  <c r="Q68" i="13" s="1"/>
  <c r="BI87" i="1"/>
  <c r="O68" i="13" s="1"/>
  <c r="BM87" i="1"/>
  <c r="CB88" i="1"/>
  <c r="CB96" i="1"/>
  <c r="Y119" i="13"/>
  <c r="AX6" i="1"/>
  <c r="AZ6" i="1"/>
  <c r="BB6" i="1"/>
  <c r="BD6" i="1"/>
  <c r="BH6" i="1"/>
  <c r="BJ6" i="1"/>
  <c r="BL6" i="1"/>
  <c r="BN6" i="1"/>
  <c r="BR6" i="1"/>
  <c r="BV6" i="1"/>
  <c r="AU7" i="1"/>
  <c r="BG7" i="1"/>
  <c r="BM7" i="1" s="1"/>
  <c r="AY8" i="1"/>
  <c r="BI8" i="1"/>
  <c r="BM8" i="1"/>
  <c r="AR9" i="1"/>
  <c r="AR6" i="1" s="1"/>
  <c r="AY10" i="1"/>
  <c r="BC10" i="1"/>
  <c r="BI10" i="1"/>
  <c r="BM10" i="1"/>
  <c r="BZ10" i="1"/>
  <c r="CB10" i="1" s="1"/>
  <c r="BG15" i="1"/>
  <c r="BG17" i="1"/>
  <c r="BM17" i="1" s="1"/>
  <c r="BI18" i="1"/>
  <c r="BM18" i="1"/>
  <c r="AO20" i="1"/>
  <c r="BO20" i="1"/>
  <c r="Y21" i="1"/>
  <c r="L56" i="13" s="1"/>
  <c r="M56" i="13" s="1"/>
  <c r="BD21" i="1"/>
  <c r="AY22" i="1"/>
  <c r="BC22" i="1"/>
  <c r="BG22" i="1"/>
  <c r="BZ22" i="1" s="1"/>
  <c r="BI26" i="1"/>
  <c r="BM26" i="1"/>
  <c r="Y28" i="1"/>
  <c r="L57" i="13" s="1"/>
  <c r="M57" i="13" s="1"/>
  <c r="BG28" i="1"/>
  <c r="BI28" i="1" s="1"/>
  <c r="O57" i="13" s="1"/>
  <c r="CA28" i="1"/>
  <c r="CA20" i="1" s="1"/>
  <c r="AY29" i="1"/>
  <c r="BC29" i="1"/>
  <c r="BI29" i="1"/>
  <c r="BM29" i="1"/>
  <c r="BZ29" i="1"/>
  <c r="AX20" i="1"/>
  <c r="BE20" i="1"/>
  <c r="BE193" i="1" s="1"/>
  <c r="AK35" i="1"/>
  <c r="AK34" i="1" s="1"/>
  <c r="BI37" i="1"/>
  <c r="BM37" i="1"/>
  <c r="BI38" i="1"/>
  <c r="BM38" i="1"/>
  <c r="BA40" i="1"/>
  <c r="CA49" i="1"/>
  <c r="CX49" i="1"/>
  <c r="BZ52" i="1"/>
  <c r="CB52" i="1" s="1"/>
  <c r="AY53" i="1"/>
  <c r="BC53" i="1"/>
  <c r="BZ53" i="1"/>
  <c r="CB53" i="1" s="1"/>
  <c r="BZ55" i="1"/>
  <c r="CB55" i="1" s="1"/>
  <c r="BK56" i="1"/>
  <c r="CA56" i="1"/>
  <c r="BK60" i="1"/>
  <c r="BZ60" i="1"/>
  <c r="CB60" i="1" s="1"/>
  <c r="BZ76" i="1"/>
  <c r="CX77" i="1"/>
  <c r="CX78" i="1"/>
  <c r="BA79" i="1"/>
  <c r="BK79" i="1"/>
  <c r="BK84" i="1"/>
  <c r="BK85" i="1"/>
  <c r="CX87" i="1"/>
  <c r="AY88" i="1"/>
  <c r="BA88" i="1"/>
  <c r="BC88" i="1"/>
  <c r="BK88" i="1"/>
  <c r="BA91" i="1"/>
  <c r="BK91" i="1"/>
  <c r="BA95" i="1"/>
  <c r="BK95" i="1"/>
  <c r="BA96" i="1"/>
  <c r="BK96" i="1"/>
  <c r="BZ97" i="1"/>
  <c r="CB97" i="1" s="1"/>
  <c r="BC97" i="1"/>
  <c r="BA97" i="1"/>
  <c r="BZ104" i="1"/>
  <c r="CB104" i="1" s="1"/>
  <c r="BC104" i="1"/>
  <c r="AY104" i="1"/>
  <c r="BM104" i="1"/>
  <c r="BI104" i="1"/>
  <c r="Y123" i="13"/>
  <c r="AW106" i="1"/>
  <c r="BG106" i="1"/>
  <c r="BQ106" i="1"/>
  <c r="BU106" i="1"/>
  <c r="BY106" i="1"/>
  <c r="CX113" i="1"/>
  <c r="BG113" i="1"/>
  <c r="BM113" i="1" s="1"/>
  <c r="BV116" i="1"/>
  <c r="BU116" i="1"/>
  <c r="AY131" i="1"/>
  <c r="BC131" i="1"/>
  <c r="Q74" i="13" s="1"/>
  <c r="BC144" i="1"/>
  <c r="Q78" i="13" s="1"/>
  <c r="BA144" i="1"/>
  <c r="P78" i="13" s="1"/>
  <c r="AY144" i="1"/>
  <c r="BM144" i="1"/>
  <c r="BK144" i="1"/>
  <c r="BZ144" i="1"/>
  <c r="CB144" i="1" s="1"/>
  <c r="CF144" i="1"/>
  <c r="AY148" i="1"/>
  <c r="BC148" i="1"/>
  <c r="Q79" i="13" s="1"/>
  <c r="BM152" i="1"/>
  <c r="BK152" i="1"/>
  <c r="BI152" i="1"/>
  <c r="O80" i="13" s="1"/>
  <c r="BZ152" i="1"/>
  <c r="CB152" i="1" s="1"/>
  <c r="BC154" i="1"/>
  <c r="Q81" i="13" s="1"/>
  <c r="BA154" i="1"/>
  <c r="P81" i="13" s="1"/>
  <c r="AY154" i="1"/>
  <c r="BC157" i="1"/>
  <c r="Q82" i="13" s="1"/>
  <c r="BA157" i="1"/>
  <c r="P82" i="13" s="1"/>
  <c r="AY157" i="1"/>
  <c r="BM157" i="1"/>
  <c r="BK157" i="1"/>
  <c r="BI157" i="1"/>
  <c r="O82" i="13" s="1"/>
  <c r="L82" i="13"/>
  <c r="M82" i="13" s="1"/>
  <c r="BK162" i="1"/>
  <c r="BM171" i="1"/>
  <c r="BK171" i="1"/>
  <c r="BI171" i="1"/>
  <c r="O86" i="13" s="1"/>
  <c r="B9" i="5"/>
  <c r="C9" i="3"/>
  <c r="BK18" i="1"/>
  <c r="Y120" i="13"/>
  <c r="AS20" i="1"/>
  <c r="AV20" i="1"/>
  <c r="AW20" i="1" s="1"/>
  <c r="AZ20" i="1"/>
  <c r="BF20" i="1"/>
  <c r="BJ20" i="1"/>
  <c r="BN20" i="1"/>
  <c r="BP20" i="1"/>
  <c r="BS20" i="1"/>
  <c r="BV20" i="1"/>
  <c r="BX20" i="1"/>
  <c r="AD44" i="1"/>
  <c r="AD39" i="1" s="1"/>
  <c r="G15" i="13" s="1"/>
  <c r="Y121" i="13"/>
  <c r="BI56" i="1"/>
  <c r="BI60" i="1"/>
  <c r="BA71" i="1"/>
  <c r="AA75" i="1"/>
  <c r="Y122" i="13"/>
  <c r="AY79" i="1"/>
  <c r="BC79" i="1"/>
  <c r="BI79" i="1"/>
  <c r="AY82" i="1"/>
  <c r="BI84" i="1"/>
  <c r="BM84" i="1"/>
  <c r="BI85" i="1"/>
  <c r="BM85" i="1"/>
  <c r="BA86" i="1"/>
  <c r="CA87" i="1"/>
  <c r="BI88" i="1"/>
  <c r="AY91" i="1"/>
  <c r="BC91" i="1"/>
  <c r="BI91" i="1"/>
  <c r="AA94" i="1"/>
  <c r="AY95" i="1"/>
  <c r="BC95" i="1"/>
  <c r="BI95" i="1"/>
  <c r="AY96" i="1"/>
  <c r="BC96" i="1"/>
  <c r="BI96" i="1"/>
  <c r="AY97" i="1"/>
  <c r="BM97" i="1"/>
  <c r="BI97" i="1"/>
  <c r="BC100" i="1"/>
  <c r="AY100" i="1"/>
  <c r="BM100" i="1"/>
  <c r="BI100" i="1"/>
  <c r="BZ100" i="1"/>
  <c r="CB100" i="1" s="1"/>
  <c r="BZ103" i="1"/>
  <c r="CB103" i="1" s="1"/>
  <c r="BC103" i="1"/>
  <c r="AY103" i="1"/>
  <c r="BM103" i="1"/>
  <c r="BI103" i="1"/>
  <c r="BA104" i="1"/>
  <c r="BK104" i="1"/>
  <c r="AQ106" i="1"/>
  <c r="AA110" i="1"/>
  <c r="AA106" i="1" s="1"/>
  <c r="Y106" i="1"/>
  <c r="AW113" i="1"/>
  <c r="BA113" i="1" s="1"/>
  <c r="P72" i="13" s="1"/>
  <c r="AA113" i="1"/>
  <c r="BK116" i="1"/>
  <c r="BM116" i="1"/>
  <c r="BI116" i="1"/>
  <c r="BA131" i="1"/>
  <c r="P74" i="13" s="1"/>
  <c r="BZ131" i="1"/>
  <c r="CB131" i="1" s="1"/>
  <c r="AA144" i="1"/>
  <c r="CB145" i="1"/>
  <c r="AT133" i="1"/>
  <c r="BA148" i="1"/>
  <c r="P79" i="13" s="1"/>
  <c r="BI162" i="1"/>
  <c r="O83" i="13" s="1"/>
  <c r="BM162" i="1"/>
  <c r="CF162" i="1"/>
  <c r="CB163" i="1"/>
  <c r="BZ162" i="1"/>
  <c r="CB162" i="1" s="1"/>
  <c r="BK166" i="1"/>
  <c r="B7" i="5"/>
  <c r="C7" i="3"/>
  <c r="BC178" i="1"/>
  <c r="Q87" i="13" s="1"/>
  <c r="BA178" i="1"/>
  <c r="P87" i="13" s="1"/>
  <c r="AY178" i="1"/>
  <c r="BI178" i="1"/>
  <c r="O87" i="13" s="1"/>
  <c r="AA170" i="1"/>
  <c r="BA114" i="1"/>
  <c r="BK114" i="1"/>
  <c r="BZ114" i="1"/>
  <c r="CX115" i="1"/>
  <c r="BA116" i="1"/>
  <c r="CX116" i="1"/>
  <c r="AY117" i="1"/>
  <c r="BA117" i="1"/>
  <c r="BC117" i="1"/>
  <c r="BR117" i="1"/>
  <c r="AW118" i="1"/>
  <c r="CX118" i="1"/>
  <c r="BK123" i="1"/>
  <c r="BK126" i="1"/>
  <c r="BI127" i="1"/>
  <c r="BK127" i="1"/>
  <c r="CX131" i="1"/>
  <c r="BC135" i="1"/>
  <c r="BK136" i="1"/>
  <c r="BK137" i="1"/>
  <c r="BZ137" i="1"/>
  <c r="CX137" i="1"/>
  <c r="BW133" i="1"/>
  <c r="BA141" i="1"/>
  <c r="BK142" i="1"/>
  <c r="BZ142" i="1"/>
  <c r="CX142" i="1"/>
  <c r="BU144" i="1"/>
  <c r="BA145" i="1"/>
  <c r="BK145" i="1"/>
  <c r="CX148" i="1"/>
  <c r="BA149" i="1"/>
  <c r="BK149" i="1"/>
  <c r="BR149" i="1"/>
  <c r="BA155" i="1"/>
  <c r="AK156" i="1"/>
  <c r="AK154" i="1" s="1"/>
  <c r="BK156" i="1"/>
  <c r="CX162" i="1"/>
  <c r="BK167" i="1"/>
  <c r="CX167" i="1"/>
  <c r="BK169" i="1"/>
  <c r="Y125" i="13"/>
  <c r="BK172" i="1"/>
  <c r="BU172" i="1"/>
  <c r="BZ174" i="1"/>
  <c r="BZ176" i="1"/>
  <c r="BM176" i="1"/>
  <c r="BI176" i="1"/>
  <c r="AY184" i="1"/>
  <c r="AX183" i="1"/>
  <c r="AY183" i="1" s="1"/>
  <c r="BC184" i="1"/>
  <c r="Q89" i="13" s="1"/>
  <c r="BB183" i="1"/>
  <c r="BC183" i="1" s="1"/>
  <c r="Q88" i="13" s="1"/>
  <c r="BH183" i="1"/>
  <c r="BL183" i="1"/>
  <c r="BU184" i="1"/>
  <c r="BR183" i="1"/>
  <c r="BU183" i="1" s="1"/>
  <c r="AA184" i="1"/>
  <c r="BZ185" i="1"/>
  <c r="BC185" i="1"/>
  <c r="AY185" i="1"/>
  <c r="BM185" i="1"/>
  <c r="BI185" i="1"/>
  <c r="CB192" i="1"/>
  <c r="BV113" i="1"/>
  <c r="AY114" i="1"/>
  <c r="BI114" i="1"/>
  <c r="CA115" i="1"/>
  <c r="AY116" i="1"/>
  <c r="BC116" i="1"/>
  <c r="BI123" i="1"/>
  <c r="BM123" i="1"/>
  <c r="BI126" i="1"/>
  <c r="BM126" i="1"/>
  <c r="BA127" i="1"/>
  <c r="Y124" i="13"/>
  <c r="BJ133" i="1"/>
  <c r="AP133" i="1"/>
  <c r="AQ133" i="1" s="1"/>
  <c r="C10" i="3" s="1"/>
  <c r="CX134" i="1"/>
  <c r="BN134" i="1"/>
  <c r="AY135" i="1"/>
  <c r="BZ135" i="1"/>
  <c r="BI136" i="1"/>
  <c r="BM136" i="1"/>
  <c r="BI137" i="1"/>
  <c r="AK138" i="1"/>
  <c r="AA140" i="1"/>
  <c r="BD140" i="1"/>
  <c r="BG140" i="1"/>
  <c r="BI140" i="1" s="1"/>
  <c r="BN140" i="1"/>
  <c r="CX140" i="1" s="1"/>
  <c r="BV140" i="1"/>
  <c r="BY140" i="1" s="1"/>
  <c r="AY141" i="1"/>
  <c r="BG141" i="1"/>
  <c r="BI142" i="1"/>
  <c r="BZ143" i="1"/>
  <c r="Y144" i="1"/>
  <c r="AY145" i="1"/>
  <c r="BC145" i="1"/>
  <c r="BI145" i="1"/>
  <c r="AY149" i="1"/>
  <c r="BI149" i="1"/>
  <c r="BQ149" i="1"/>
  <c r="BD154" i="1"/>
  <c r="AY155" i="1"/>
  <c r="BG155" i="1"/>
  <c r="BI156" i="1"/>
  <c r="BR158" i="1"/>
  <c r="CA166" i="1"/>
  <c r="BI167" i="1"/>
  <c r="BI169" i="1"/>
  <c r="Y170" i="1"/>
  <c r="BN171" i="1"/>
  <c r="BR171" i="1"/>
  <c r="BV171" i="1"/>
  <c r="BI172" i="1"/>
  <c r="BQ172" i="1"/>
  <c r="BK176" i="1"/>
  <c r="CA178" i="1"/>
  <c r="BZ179" i="1"/>
  <c r="BC179" i="1"/>
  <c r="AY179" i="1"/>
  <c r="BM179" i="1"/>
  <c r="BI179" i="1"/>
  <c r="Y184" i="1"/>
  <c r="AQ184" i="1"/>
  <c r="BA184" i="1"/>
  <c r="P89" i="13" s="1"/>
  <c r="AZ183" i="1"/>
  <c r="BA183" i="1" s="1"/>
  <c r="P88" i="13" s="1"/>
  <c r="BG184" i="1"/>
  <c r="BI184" i="1" s="1"/>
  <c r="O89" i="13" s="1"/>
  <c r="BD183" i="1"/>
  <c r="BK184" i="1"/>
  <c r="BJ183" i="1"/>
  <c r="BQ184" i="1"/>
  <c r="BN183" i="1"/>
  <c r="BQ183" i="1" s="1"/>
  <c r="BY184" i="1"/>
  <c r="BV183" i="1"/>
  <c r="BY183" i="1" s="1"/>
  <c r="BA185" i="1"/>
  <c r="BK185" i="1"/>
  <c r="CB185" i="1"/>
  <c r="CA184" i="1"/>
  <c r="BZ189" i="1"/>
  <c r="CB189" i="1" s="1"/>
  <c r="BC189" i="1"/>
  <c r="AY189" i="1"/>
  <c r="BM189" i="1"/>
  <c r="BI189" i="1"/>
  <c r="BZ191" i="1"/>
  <c r="CB191" i="1" s="1"/>
  <c r="BC191" i="1"/>
  <c r="AY191" i="1"/>
  <c r="BM191" i="1"/>
  <c r="BI191" i="1"/>
  <c r="BM192" i="1"/>
  <c r="BI192" i="1"/>
  <c r="Y126" i="13"/>
  <c r="AF24" i="4"/>
  <c r="AB100" i="4"/>
  <c r="AA100" i="4"/>
  <c r="E12" i="2"/>
  <c r="AF10" i="4"/>
  <c r="AF16" i="4"/>
  <c r="W23" i="4"/>
  <c r="AE23" i="4"/>
  <c r="AF34" i="4"/>
  <c r="AF43" i="4"/>
  <c r="AH42" i="4" s="1"/>
  <c r="AF69" i="4"/>
  <c r="AH68" i="4" s="1"/>
  <c r="AF84" i="4"/>
  <c r="AF112" i="4"/>
  <c r="AF119" i="4"/>
  <c r="X102" i="4"/>
  <c r="X122" i="4"/>
  <c r="AF153" i="4"/>
  <c r="X123" i="4"/>
  <c r="E5" i="7"/>
  <c r="E8" i="7" s="1"/>
  <c r="E4" i="7"/>
  <c r="X162" i="4"/>
  <c r="X171" i="4"/>
  <c r="AF186" i="4"/>
  <c r="E11" i="6"/>
  <c r="C12" i="6"/>
  <c r="C13" i="6"/>
  <c r="D4" i="7"/>
  <c r="D6" i="7" s="1"/>
  <c r="D5" i="7"/>
  <c r="D8" i="7" s="1"/>
  <c r="D9" i="8"/>
  <c r="E15" i="8"/>
  <c r="C16" i="8"/>
  <c r="D22" i="9"/>
  <c r="T147" i="4"/>
  <c r="T161" i="4"/>
  <c r="W161" i="4" s="1"/>
  <c r="T170" i="4"/>
  <c r="W170" i="4" s="1"/>
  <c r="D12" i="6"/>
  <c r="D13" i="6"/>
  <c r="C4" i="7"/>
  <c r="C6" i="7" s="1"/>
  <c r="C10" i="8"/>
  <c r="C11" i="8"/>
  <c r="D16" i="8"/>
  <c r="D22" i="8" s="1"/>
  <c r="B18" i="8"/>
  <c r="B19" i="8"/>
  <c r="B27" i="8" s="1"/>
  <c r="Q7" i="9"/>
  <c r="N136" i="9"/>
  <c r="N139" i="9" s="1"/>
  <c r="G66" i="9"/>
  <c r="R66" i="9" s="1"/>
  <c r="D42" i="9"/>
  <c r="R72" i="9"/>
  <c r="R76" i="9"/>
  <c r="G87" i="9"/>
  <c r="R87" i="9" s="1"/>
  <c r="E83" i="9"/>
  <c r="E87" i="9"/>
  <c r="E98" i="9"/>
  <c r="G98" i="9" s="1"/>
  <c r="D105" i="9"/>
  <c r="G105" i="9" s="1"/>
  <c r="AK39" i="1"/>
  <c r="I15" i="13" s="1"/>
  <c r="AT34" i="1"/>
  <c r="AT20" i="1" s="1"/>
  <c r="BZ35" i="1"/>
  <c r="I14" i="13"/>
  <c r="AQ34" i="1"/>
  <c r="AW34" i="1"/>
  <c r="BC34" i="1" s="1"/>
  <c r="Q58" i="13" s="1"/>
  <c r="AY35" i="1"/>
  <c r="BG34" i="1"/>
  <c r="BM34" i="1" s="1"/>
  <c r="BY34" i="1"/>
  <c r="BA35" i="1"/>
  <c r="BU34" i="1"/>
  <c r="BM36" i="1"/>
  <c r="AQ20" i="1"/>
  <c r="B5" i="5" s="1"/>
  <c r="CX34" i="1"/>
  <c r="BI36" i="1"/>
  <c r="BA36" i="1"/>
  <c r="BA34" i="1"/>
  <c r="P58" i="13" s="1"/>
  <c r="AY34" i="1"/>
  <c r="BH193" i="1"/>
  <c r="BH195" i="1" s="1"/>
  <c r="BT193" i="1"/>
  <c r="BC35" i="1"/>
  <c r="BQ34" i="1"/>
  <c r="BW193" i="1"/>
  <c r="BC140" i="1"/>
  <c r="Q77" i="13" s="1"/>
  <c r="BN133" i="1"/>
  <c r="BF133" i="1"/>
  <c r="BQ140" i="1"/>
  <c r="AD134" i="1"/>
  <c r="AW134" i="1"/>
  <c r="AY134" i="1" s="1"/>
  <c r="BY134" i="1"/>
  <c r="BM138" i="1"/>
  <c r="BZ138" i="1"/>
  <c r="BQ134" i="1"/>
  <c r="BI138" i="1"/>
  <c r="BC134" i="1"/>
  <c r="Q76" i="13" s="1"/>
  <c r="CB135" i="1"/>
  <c r="B10" i="5"/>
  <c r="AW133" i="1"/>
  <c r="BG134" i="1"/>
  <c r="BI134" i="1" s="1"/>
  <c r="O76" i="13" s="1"/>
  <c r="AP193" i="1"/>
  <c r="L63" i="13" l="1"/>
  <c r="M63" i="13" s="1"/>
  <c r="L73" i="13"/>
  <c r="M73" i="13" s="1"/>
  <c r="L78" i="13"/>
  <c r="M78" i="13" s="1"/>
  <c r="L58" i="13"/>
  <c r="M58" i="13" s="1"/>
  <c r="L79" i="13"/>
  <c r="M79" i="13" s="1"/>
  <c r="L68" i="13"/>
  <c r="M68" i="13" s="1"/>
  <c r="L51" i="13"/>
  <c r="M51" i="13" s="1"/>
  <c r="BZ34" i="1"/>
  <c r="BY20" i="1"/>
  <c r="AX193" i="1"/>
  <c r="BO193" i="1"/>
  <c r="L74" i="13"/>
  <c r="M74" i="13" s="1"/>
  <c r="CF34" i="1"/>
  <c r="R71" i="9"/>
  <c r="AH106" i="4"/>
  <c r="AF31" i="4"/>
  <c r="AD105" i="1"/>
  <c r="G26" i="13" s="1"/>
  <c r="AF106" i="4"/>
  <c r="AF42" i="4"/>
  <c r="AH24" i="4"/>
  <c r="AY87" i="1"/>
  <c r="F6" i="3"/>
  <c r="Q24" i="9"/>
  <c r="AF136" i="4"/>
  <c r="AH137" i="4"/>
  <c r="BX193" i="1"/>
  <c r="G42" i="9"/>
  <c r="R42" i="9" s="1"/>
  <c r="BA171" i="1"/>
  <c r="P86" i="13" s="1"/>
  <c r="AY152" i="1"/>
  <c r="BK113" i="1"/>
  <c r="BK77" i="1"/>
  <c r="AK134" i="1"/>
  <c r="I32" i="13" s="1"/>
  <c r="BQ157" i="1"/>
  <c r="S46" i="4"/>
  <c r="BM140" i="1"/>
  <c r="BA152" i="1"/>
  <c r="P80" i="13" s="1"/>
  <c r="BQ6" i="1"/>
  <c r="C3" i="5" s="1"/>
  <c r="BZ166" i="1"/>
  <c r="AK115" i="1"/>
  <c r="I29" i="13" s="1"/>
  <c r="AK9" i="1"/>
  <c r="I8" i="13" s="1"/>
  <c r="K24" i="9"/>
  <c r="K136" i="9" s="1"/>
  <c r="K139" i="9" s="1"/>
  <c r="R65" i="9"/>
  <c r="AF180" i="4"/>
  <c r="Q10" i="9"/>
  <c r="R10" i="9" s="1"/>
  <c r="AF124" i="4"/>
  <c r="AA54" i="4"/>
  <c r="AC184" i="4"/>
  <c r="AC187" i="4" s="1"/>
  <c r="R105" i="9"/>
  <c r="BK140" i="1"/>
  <c r="R106" i="9"/>
  <c r="BZ87" i="1"/>
  <c r="Q22" i="9"/>
  <c r="Q136" i="9" s="1"/>
  <c r="Q139" i="9" s="1"/>
  <c r="BI113" i="1"/>
  <c r="O72" i="13" s="1"/>
  <c r="BM166" i="1"/>
  <c r="AK106" i="1"/>
  <c r="I27" i="13" s="1"/>
  <c r="L24" i="9"/>
  <c r="L136" i="9" s="1"/>
  <c r="L139" i="9" s="1"/>
  <c r="P136" i="9"/>
  <c r="P139" i="9" s="1"/>
  <c r="AH84" i="4"/>
  <c r="BC170" i="1"/>
  <c r="Q85" i="13" s="1"/>
  <c r="W121" i="4"/>
  <c r="W111" i="4" s="1"/>
  <c r="S74" i="4"/>
  <c r="AF74" i="4" s="1"/>
  <c r="E24" i="9"/>
  <c r="E136" i="9" s="1"/>
  <c r="E139" i="9" s="1"/>
  <c r="E140" i="9" s="1"/>
  <c r="AY113" i="1"/>
  <c r="BI9" i="1"/>
  <c r="O52" i="13" s="1"/>
  <c r="AT193" i="1"/>
  <c r="O77" i="13"/>
  <c r="AA20" i="1"/>
  <c r="P187" i="4"/>
  <c r="BQ133" i="1"/>
  <c r="BA140" i="1"/>
  <c r="P77" i="13" s="1"/>
  <c r="R98" i="9"/>
  <c r="C15" i="6"/>
  <c r="BZ134" i="1"/>
  <c r="CB134" i="1" s="1"/>
  <c r="G32" i="13"/>
  <c r="L76" i="13" s="1"/>
  <c r="M76" i="13" s="1"/>
  <c r="AD133" i="1"/>
  <c r="G31" i="13" s="1"/>
  <c r="C13" i="8"/>
  <c r="E6" i="7"/>
  <c r="CB166" i="1"/>
  <c r="BZ172" i="1"/>
  <c r="CF166" i="1"/>
  <c r="AY162" i="1"/>
  <c r="BK131" i="1"/>
  <c r="AY171" i="1"/>
  <c r="CB153" i="1"/>
  <c r="AR193" i="1"/>
  <c r="BM94" i="1"/>
  <c r="B3" i="5"/>
  <c r="BA162" i="1"/>
  <c r="P83" i="13" s="1"/>
  <c r="CX105" i="1"/>
  <c r="BM131" i="1"/>
  <c r="AW115" i="1"/>
  <c r="J136" i="9"/>
  <c r="J139" i="9" s="1"/>
  <c r="Q11" i="9"/>
  <c r="R11" i="9" s="1"/>
  <c r="R38" i="9"/>
  <c r="F136" i="9"/>
  <c r="F139" i="9" s="1"/>
  <c r="F140" i="9" s="1"/>
  <c r="AA23" i="4"/>
  <c r="S48" i="4"/>
  <c r="BY70" i="1"/>
  <c r="L62" i="13"/>
  <c r="M62" i="13" s="1"/>
  <c r="G23" i="13"/>
  <c r="L67" i="13" s="1"/>
  <c r="M67" i="13" s="1"/>
  <c r="AD77" i="1"/>
  <c r="G22" i="13" s="1"/>
  <c r="W68" i="4"/>
  <c r="AF68" i="4" s="1"/>
  <c r="T48" i="4"/>
  <c r="W48" i="4" s="1"/>
  <c r="L69" i="13"/>
  <c r="M69" i="13" s="1"/>
  <c r="Q184" i="4"/>
  <c r="Q187" i="4" s="1"/>
  <c r="AD47" i="1"/>
  <c r="G20" i="13"/>
  <c r="L64" i="13" s="1"/>
  <c r="M64" i="13" s="1"/>
  <c r="U184" i="4"/>
  <c r="U187" i="4" s="1"/>
  <c r="Y133" i="1"/>
  <c r="BK178" i="1"/>
  <c r="CB167" i="1"/>
  <c r="CB132" i="1"/>
  <c r="BZ15" i="1"/>
  <c r="CB15" i="1" s="1"/>
  <c r="CF78" i="1"/>
  <c r="BK70" i="1"/>
  <c r="CB58" i="1"/>
  <c r="BS193" i="1"/>
  <c r="CB119" i="1"/>
  <c r="AK157" i="1"/>
  <c r="AF175" i="4"/>
  <c r="AH147" i="4"/>
  <c r="AH89" i="4"/>
  <c r="W5" i="4"/>
  <c r="AF5" i="4" s="1"/>
  <c r="AD6" i="1"/>
  <c r="G6" i="13" s="1"/>
  <c r="L50" i="13" s="1"/>
  <c r="M50" i="13" s="1"/>
  <c r="AE54" i="4"/>
  <c r="AF54" i="4" s="1"/>
  <c r="AB48" i="4"/>
  <c r="AE48" i="4" s="1"/>
  <c r="CB35" i="1"/>
  <c r="BU6" i="1"/>
  <c r="BI94" i="1"/>
  <c r="O69" i="13" s="1"/>
  <c r="BY47" i="1"/>
  <c r="F4" i="3" s="1"/>
  <c r="BZ39" i="1"/>
  <c r="CB39" i="1" s="1"/>
  <c r="AD170" i="1"/>
  <c r="G41" i="13" s="1"/>
  <c r="L85" i="13" s="1"/>
  <c r="M85" i="13" s="1"/>
  <c r="G42" i="13"/>
  <c r="L86" i="13" s="1"/>
  <c r="M86" i="13" s="1"/>
  <c r="AH180" i="4"/>
  <c r="AF167" i="4"/>
  <c r="T111" i="4"/>
  <c r="AH54" i="4"/>
  <c r="L59" i="13"/>
  <c r="M59" i="13" s="1"/>
  <c r="AD20" i="1"/>
  <c r="G11" i="13" s="1"/>
  <c r="L83" i="13"/>
  <c r="M83" i="13" s="1"/>
  <c r="B6" i="5"/>
  <c r="C6" i="3"/>
  <c r="BK170" i="1"/>
  <c r="BI170" i="1"/>
  <c r="O85" i="13" s="1"/>
  <c r="W111" i="13" s="1"/>
  <c r="BM170" i="1"/>
  <c r="AK171" i="1"/>
  <c r="AK170" i="1" s="1"/>
  <c r="I41" i="13" s="1"/>
  <c r="D6" i="3"/>
  <c r="C6" i="5"/>
  <c r="BA94" i="1"/>
  <c r="P69" i="13" s="1"/>
  <c r="BP193" i="1"/>
  <c r="BC94" i="1"/>
  <c r="Q69" i="13" s="1"/>
  <c r="E6" i="3"/>
  <c r="G6" i="3" s="1"/>
  <c r="AK94" i="1"/>
  <c r="I25" i="13" s="1"/>
  <c r="AK78" i="1"/>
  <c r="I23" i="13" s="1"/>
  <c r="CX47" i="1"/>
  <c r="BG47" i="1"/>
  <c r="BM47" i="1" s="1"/>
  <c r="AK21" i="1"/>
  <c r="I12" i="13" s="1"/>
  <c r="E4" i="5"/>
  <c r="CA194" i="1"/>
  <c r="AK77" i="1"/>
  <c r="I22" i="13" s="1"/>
  <c r="BA170" i="1"/>
  <c r="P85" i="13" s="1"/>
  <c r="BB193" i="1"/>
  <c r="BB199" i="1" s="1"/>
  <c r="AQ105" i="1"/>
  <c r="CB87" i="1"/>
  <c r="BQ20" i="1"/>
  <c r="D4" i="3"/>
  <c r="BK9" i="1"/>
  <c r="BZ106" i="1"/>
  <c r="CB106" i="1" s="1"/>
  <c r="CF87" i="1"/>
  <c r="CF62" i="1"/>
  <c r="BI48" i="1"/>
  <c r="O61" i="13" s="1"/>
  <c r="BM115" i="1"/>
  <c r="AW48" i="1"/>
  <c r="AU47" i="1"/>
  <c r="CF134" i="1"/>
  <c r="BI117" i="1"/>
  <c r="BQ105" i="1"/>
  <c r="CB56" i="1"/>
  <c r="CB63" i="1"/>
  <c r="BK48" i="1"/>
  <c r="BM148" i="1"/>
  <c r="BI115" i="1"/>
  <c r="O73" i="13" s="1"/>
  <c r="AO105" i="1"/>
  <c r="AO193" i="1" s="1"/>
  <c r="AQ193" i="1" s="1"/>
  <c r="AW78" i="1"/>
  <c r="AU77" i="1"/>
  <c r="AW77" i="1" s="1"/>
  <c r="Y47" i="1"/>
  <c r="Y77" i="1"/>
  <c r="BA134" i="1"/>
  <c r="P76" i="13" s="1"/>
  <c r="BH199" i="1"/>
  <c r="BF193" i="1"/>
  <c r="C5" i="3"/>
  <c r="CX166" i="1"/>
  <c r="BK117" i="1"/>
  <c r="BC113" i="1"/>
  <c r="Q72" i="13" s="1"/>
  <c r="CF94" i="1"/>
  <c r="I6" i="13"/>
  <c r="BU47" i="1"/>
  <c r="BA20" i="1"/>
  <c r="P55" i="13" s="1"/>
  <c r="E5" i="5"/>
  <c r="F5" i="3"/>
  <c r="C5" i="5"/>
  <c r="D5" i="3"/>
  <c r="AY20" i="1"/>
  <c r="BC20" i="1"/>
  <c r="Q55" i="13" s="1"/>
  <c r="AZ193" i="1"/>
  <c r="Y20" i="1"/>
  <c r="AK28" i="1"/>
  <c r="I13" i="13" s="1"/>
  <c r="E5" i="3"/>
  <c r="BJ195" i="1"/>
  <c r="BL199" i="1"/>
  <c r="AX197" i="1"/>
  <c r="BY6" i="1"/>
  <c r="F3" i="3" s="1"/>
  <c r="CF171" i="1"/>
  <c r="CB172" i="1"/>
  <c r="B20" i="8"/>
  <c r="D15" i="6"/>
  <c r="D24" i="9"/>
  <c r="G24" i="9" s="1"/>
  <c r="R7" i="9"/>
  <c r="E16" i="8"/>
  <c r="E14" i="6"/>
  <c r="E18" i="6" s="1"/>
  <c r="E13" i="6"/>
  <c r="E12" i="6"/>
  <c r="AA171" i="4"/>
  <c r="AF171" i="4" s="1"/>
  <c r="AH170" i="4" s="1"/>
  <c r="X170" i="4"/>
  <c r="AA170" i="4" s="1"/>
  <c r="AF170" i="4" s="1"/>
  <c r="AA123" i="4"/>
  <c r="AB123" i="4"/>
  <c r="AE123" i="4" s="1"/>
  <c r="AA102" i="4"/>
  <c r="AB102" i="4"/>
  <c r="AE102" i="4" s="1"/>
  <c r="X99" i="4"/>
  <c r="AE100" i="4"/>
  <c r="AF100" i="4" s="1"/>
  <c r="CA183" i="1"/>
  <c r="E9" i="5"/>
  <c r="F9" i="3"/>
  <c r="C9" i="5"/>
  <c r="D9" i="3"/>
  <c r="CX183" i="1"/>
  <c r="BG183" i="1"/>
  <c r="BI183" i="1" s="1"/>
  <c r="O88" i="13" s="1"/>
  <c r="W112" i="13" s="1"/>
  <c r="BZ178" i="1"/>
  <c r="CF178" i="1"/>
  <c r="BY171" i="1"/>
  <c r="BV170" i="1"/>
  <c r="BY170" i="1" s="1"/>
  <c r="BQ171" i="1"/>
  <c r="BN170" i="1"/>
  <c r="BD133" i="1"/>
  <c r="CX133" i="1" s="1"/>
  <c r="AA183" i="1"/>
  <c r="BM184" i="1"/>
  <c r="BU149" i="1"/>
  <c r="BV149" i="1"/>
  <c r="BR148" i="1"/>
  <c r="BC118" i="1"/>
  <c r="AY118" i="1"/>
  <c r="BZ118" i="1"/>
  <c r="CB118" i="1" s="1"/>
  <c r="BA118" i="1"/>
  <c r="CX171" i="1"/>
  <c r="AA105" i="1"/>
  <c r="C8" i="5"/>
  <c r="D8" i="3"/>
  <c r="AW105" i="1"/>
  <c r="BC106" i="1"/>
  <c r="Q71" i="13" s="1"/>
  <c r="BA106" i="1"/>
  <c r="P71" i="13" s="1"/>
  <c r="AY106" i="1"/>
  <c r="CB49" i="1"/>
  <c r="CA48" i="1"/>
  <c r="BM22" i="1"/>
  <c r="BI22" i="1"/>
  <c r="BK22" i="1"/>
  <c r="E3" i="5"/>
  <c r="BG6" i="1"/>
  <c r="BK6" i="1" s="1"/>
  <c r="CX6" i="1"/>
  <c r="AK105" i="1"/>
  <c r="I26" i="13" s="1"/>
  <c r="BZ94" i="1"/>
  <c r="CB94" i="1" s="1"/>
  <c r="AA47" i="1"/>
  <c r="CF48" i="1"/>
  <c r="BZ48" i="1"/>
  <c r="BM28" i="1"/>
  <c r="BK17" i="1"/>
  <c r="BI7" i="1"/>
  <c r="O51" i="13" s="1"/>
  <c r="BK7" i="1"/>
  <c r="CB82" i="1"/>
  <c r="BZ78" i="1"/>
  <c r="CB78" i="1" s="1"/>
  <c r="BZ57" i="1"/>
  <c r="CB57" i="1" s="1"/>
  <c r="BK28" i="1"/>
  <c r="BI17" i="1"/>
  <c r="O54" i="13" s="1"/>
  <c r="BN193" i="1"/>
  <c r="BQ193" i="1" s="1"/>
  <c r="G83" i="9"/>
  <c r="R83" i="9" s="1"/>
  <c r="D19" i="8"/>
  <c r="D18" i="8"/>
  <c r="T146" i="4"/>
  <c r="W147" i="4"/>
  <c r="AF147" i="4" s="1"/>
  <c r="D136" i="9"/>
  <c r="C19" i="8"/>
  <c r="C27" i="8" s="1"/>
  <c r="C18" i="8"/>
  <c r="E9" i="8"/>
  <c r="D12" i="8"/>
  <c r="D27" i="8" s="1"/>
  <c r="D11" i="8"/>
  <c r="D26" i="8" s="1"/>
  <c r="D10" i="8"/>
  <c r="AA162" i="4"/>
  <c r="X161" i="4"/>
  <c r="AB162" i="4"/>
  <c r="C22" i="8"/>
  <c r="B26" i="8"/>
  <c r="AA122" i="4"/>
  <c r="AB122" i="4"/>
  <c r="X121" i="4"/>
  <c r="L89" i="13"/>
  <c r="M89" i="13" s="1"/>
  <c r="Y183" i="1"/>
  <c r="CB178" i="1"/>
  <c r="CA170" i="1"/>
  <c r="BU171" i="1"/>
  <c r="BZ171" i="1" s="1"/>
  <c r="CB171" i="1" s="1"/>
  <c r="BR170" i="1"/>
  <c r="BR157" i="1"/>
  <c r="BU157" i="1" s="1"/>
  <c r="BU158" i="1"/>
  <c r="BZ158" i="1" s="1"/>
  <c r="BK155" i="1"/>
  <c r="BM155" i="1"/>
  <c r="BI155" i="1"/>
  <c r="CX154" i="1"/>
  <c r="BG154" i="1"/>
  <c r="BK141" i="1"/>
  <c r="BZ141" i="1"/>
  <c r="BM141" i="1"/>
  <c r="BI141" i="1"/>
  <c r="AA133" i="1"/>
  <c r="BY113" i="1"/>
  <c r="CF184" i="1"/>
  <c r="BZ184" i="1"/>
  <c r="BZ183" i="1" s="1"/>
  <c r="D9" i="5"/>
  <c r="E9" i="3"/>
  <c r="G9" i="3" s="1"/>
  <c r="BM183" i="1"/>
  <c r="CB179" i="1"/>
  <c r="BZ155" i="1"/>
  <c r="CA133" i="1"/>
  <c r="BU117" i="1"/>
  <c r="BV117" i="1"/>
  <c r="BY117" i="1" s="1"/>
  <c r="BZ113" i="1"/>
  <c r="CB113" i="1" s="1"/>
  <c r="CB114" i="1"/>
  <c r="CF113" i="1"/>
  <c r="L71" i="13"/>
  <c r="M71" i="13" s="1"/>
  <c r="Y105" i="1"/>
  <c r="CA105" i="1"/>
  <c r="B8" i="5"/>
  <c r="C8" i="3"/>
  <c r="BR115" i="1"/>
  <c r="BY116" i="1"/>
  <c r="BZ116" i="1" s="1"/>
  <c r="BG105" i="1"/>
  <c r="BM106" i="1"/>
  <c r="BK106" i="1"/>
  <c r="BI106" i="1"/>
  <c r="BZ75" i="1"/>
  <c r="CB75" i="1" s="1"/>
  <c r="CB76" i="1"/>
  <c r="CF75" i="1"/>
  <c r="BZ28" i="1"/>
  <c r="CB28" i="1" s="1"/>
  <c r="CF28" i="1"/>
  <c r="CF21" i="1"/>
  <c r="BZ21" i="1"/>
  <c r="CB21" i="1" s="1"/>
  <c r="BG21" i="1"/>
  <c r="BD20" i="1"/>
  <c r="CX21" i="1"/>
  <c r="CF9" i="1"/>
  <c r="BZ9" i="1"/>
  <c r="CB9" i="1" s="1"/>
  <c r="AW7" i="1"/>
  <c r="AU6" i="1"/>
  <c r="D3" i="5"/>
  <c r="E3" i="3"/>
  <c r="BM6" i="1"/>
  <c r="BI6" i="1"/>
  <c r="O50" i="13" s="1"/>
  <c r="Y127" i="13"/>
  <c r="CB18" i="1"/>
  <c r="BZ17" i="1"/>
  <c r="CB17" i="1" s="1"/>
  <c r="CF17" i="1"/>
  <c r="BZ7" i="1"/>
  <c r="CF7" i="1"/>
  <c r="AA77" i="1"/>
  <c r="CA77" i="1"/>
  <c r="F6" i="5"/>
  <c r="CB29" i="1"/>
  <c r="CB22" i="1"/>
  <c r="CA6" i="1"/>
  <c r="BI34" i="1"/>
  <c r="O58" i="13" s="1"/>
  <c r="BK34" i="1"/>
  <c r="CB34" i="1"/>
  <c r="G5" i="3"/>
  <c r="F5" i="5"/>
  <c r="BG133" i="1"/>
  <c r="BC133" i="1"/>
  <c r="Q75" i="13" s="1"/>
  <c r="C11" i="3"/>
  <c r="BM134" i="1"/>
  <c r="BK134" i="1"/>
  <c r="AY133" i="1"/>
  <c r="BA133" i="1"/>
  <c r="P75" i="13" s="1"/>
  <c r="L75" i="13"/>
  <c r="M75" i="13" s="1"/>
  <c r="D10" i="3"/>
  <c r="C10" i="5"/>
  <c r="D3" i="3" l="1"/>
  <c r="C20" i="8"/>
  <c r="R22" i="9"/>
  <c r="AF46" i="4"/>
  <c r="S23" i="4"/>
  <c r="AF23" i="4" s="1"/>
  <c r="AG23" i="4" s="1"/>
  <c r="O70" i="13"/>
  <c r="O71" i="13"/>
  <c r="AB99" i="4"/>
  <c r="AB98" i="4" s="1"/>
  <c r="I37" i="13"/>
  <c r="I38" i="13"/>
  <c r="BC115" i="1"/>
  <c r="Q73" i="13" s="1"/>
  <c r="AY115" i="1"/>
  <c r="BA115" i="1"/>
  <c r="P73" i="13" s="1"/>
  <c r="AD193" i="1"/>
  <c r="B3" i="13" s="1"/>
  <c r="G16" i="13"/>
  <c r="L60" i="13" s="1"/>
  <c r="M60" i="13" s="1"/>
  <c r="S188" i="4"/>
  <c r="BZ6" i="1"/>
  <c r="D13" i="8"/>
  <c r="AF123" i="4"/>
  <c r="AF48" i="4"/>
  <c r="S184" i="4"/>
  <c r="S187" i="4" s="1"/>
  <c r="I42" i="13"/>
  <c r="BZ77" i="1"/>
  <c r="CB77" i="1" s="1"/>
  <c r="BB197" i="1"/>
  <c r="BK47" i="1"/>
  <c r="BI47" i="1"/>
  <c r="O60" i="13" s="1"/>
  <c r="AK20" i="1"/>
  <c r="I11" i="13" s="1"/>
  <c r="D4" i="5"/>
  <c r="F4" i="5" s="1"/>
  <c r="E4" i="3"/>
  <c r="G4" i="3" s="1"/>
  <c r="AJ47" i="1"/>
  <c r="CB7" i="1"/>
  <c r="BV115" i="1"/>
  <c r="BY115" i="1" s="1"/>
  <c r="BY105" i="1" s="1"/>
  <c r="CB184" i="1"/>
  <c r="AY77" i="1"/>
  <c r="BC77" i="1"/>
  <c r="Q66" i="13" s="1"/>
  <c r="BA77" i="1"/>
  <c r="P66" i="13" s="1"/>
  <c r="BC48" i="1"/>
  <c r="Q61" i="13" s="1"/>
  <c r="BA48" i="1"/>
  <c r="P61" i="13" s="1"/>
  <c r="AY48" i="1"/>
  <c r="AW47" i="1"/>
  <c r="BA78" i="1"/>
  <c r="P67" i="13" s="1"/>
  <c r="BC78" i="1"/>
  <c r="Q67" i="13" s="1"/>
  <c r="AY78" i="1"/>
  <c r="L66" i="13"/>
  <c r="M66" i="13" s="1"/>
  <c r="G3" i="3"/>
  <c r="F9" i="5"/>
  <c r="AZ199" i="1"/>
  <c r="AZ197" i="1"/>
  <c r="L55" i="13"/>
  <c r="M55" i="13" s="1"/>
  <c r="F3" i="5"/>
  <c r="CB116" i="1"/>
  <c r="CB6" i="1"/>
  <c r="BA7" i="1"/>
  <c r="P51" i="13" s="1"/>
  <c r="BC7" i="1"/>
  <c r="Q51" i="13" s="1"/>
  <c r="AY7" i="1"/>
  <c r="BG20" i="1"/>
  <c r="CX20" i="1"/>
  <c r="BD193" i="1"/>
  <c r="BM105" i="1"/>
  <c r="BI105" i="1"/>
  <c r="BK105" i="1"/>
  <c r="BU115" i="1"/>
  <c r="BU105" i="1" s="1"/>
  <c r="BR105" i="1"/>
  <c r="Y193" i="1"/>
  <c r="BM154" i="1"/>
  <c r="BK154" i="1"/>
  <c r="BI154" i="1"/>
  <c r="O81" i="13" s="1"/>
  <c r="T111" i="13"/>
  <c r="AE122" i="4"/>
  <c r="AB121" i="4"/>
  <c r="AE162" i="4"/>
  <c r="AF162" i="4" s="1"/>
  <c r="AH161" i="4" s="1"/>
  <c r="AB161" i="4"/>
  <c r="D142" i="9"/>
  <c r="D139" i="9"/>
  <c r="D140" i="9" s="1"/>
  <c r="G142" i="9"/>
  <c r="W146" i="4"/>
  <c r="T184" i="4"/>
  <c r="AA193" i="1"/>
  <c r="BU148" i="1"/>
  <c r="BR133" i="1"/>
  <c r="BU133" i="1" s="1"/>
  <c r="BQ170" i="1"/>
  <c r="CX170" i="1"/>
  <c r="E7" i="5"/>
  <c r="F7" i="3"/>
  <c r="BK183" i="1"/>
  <c r="AA99" i="4"/>
  <c r="X98" i="4"/>
  <c r="E19" i="8"/>
  <c r="E18" i="8"/>
  <c r="BZ20" i="1"/>
  <c r="B11" i="5"/>
  <c r="I3" i="3"/>
  <c r="CE6" i="1"/>
  <c r="CE193" i="1" s="1"/>
  <c r="AW6" i="1"/>
  <c r="AU193" i="1"/>
  <c r="BM21" i="1"/>
  <c r="BK21" i="1"/>
  <c r="BI21" i="1"/>
  <c r="O56" i="13" s="1"/>
  <c r="BZ117" i="1"/>
  <c r="CB117" i="1" s="1"/>
  <c r="BZ154" i="1"/>
  <c r="CB154" i="1" s="1"/>
  <c r="CB155" i="1"/>
  <c r="CF154" i="1"/>
  <c r="I9" i="3"/>
  <c r="CE183" i="1"/>
  <c r="BV105" i="1"/>
  <c r="CB141" i="1"/>
  <c r="BZ140" i="1"/>
  <c r="CB140" i="1" s="1"/>
  <c r="CF140" i="1"/>
  <c r="BZ157" i="1"/>
  <c r="CB157" i="1" s="1"/>
  <c r="CB158" i="1"/>
  <c r="CF157" i="1"/>
  <c r="BU170" i="1"/>
  <c r="L88" i="13"/>
  <c r="M88" i="13" s="1"/>
  <c r="AA121" i="4"/>
  <c r="X111" i="4"/>
  <c r="AF122" i="4"/>
  <c r="AH121" i="4" s="1"/>
  <c r="X146" i="4"/>
  <c r="AA146" i="4" s="1"/>
  <c r="AA161" i="4"/>
  <c r="E12" i="8"/>
  <c r="E27" i="8" s="1"/>
  <c r="E11" i="8"/>
  <c r="E26" i="8" s="1"/>
  <c r="E10" i="8"/>
  <c r="D20" i="8"/>
  <c r="CE77" i="1"/>
  <c r="T105" i="13"/>
  <c r="BZ47" i="1"/>
  <c r="I17" i="13"/>
  <c r="I16" i="13"/>
  <c r="CA47" i="1"/>
  <c r="CB48" i="1"/>
  <c r="BA105" i="1"/>
  <c r="P70" i="13" s="1"/>
  <c r="BC105" i="1"/>
  <c r="Q70" i="13" s="1"/>
  <c r="AY105" i="1"/>
  <c r="BY149" i="1"/>
  <c r="BZ149" i="1" s="1"/>
  <c r="BV148" i="1"/>
  <c r="CB183" i="1"/>
  <c r="AF102" i="4"/>
  <c r="AH99" i="4" s="1"/>
  <c r="AH184" i="4" s="1"/>
  <c r="E15" i="6"/>
  <c r="E22" i="8"/>
  <c r="R24" i="9"/>
  <c r="G136" i="9"/>
  <c r="C26" i="8"/>
  <c r="I31" i="13"/>
  <c r="BM133" i="1"/>
  <c r="BK133" i="1"/>
  <c r="BI133" i="1"/>
  <c r="O75" i="13" s="1"/>
  <c r="W110" i="13" s="1"/>
  <c r="T110" i="13"/>
  <c r="U105" i="13" l="1"/>
  <c r="Z119" i="13"/>
  <c r="U111" i="13"/>
  <c r="Z125" i="13"/>
  <c r="U110" i="13"/>
  <c r="Z124" i="13"/>
  <c r="AE99" i="4"/>
  <c r="AF99" i="4" s="1"/>
  <c r="BR193" i="1"/>
  <c r="BU193" i="1" s="1"/>
  <c r="E13" i="8"/>
  <c r="E20" i="8"/>
  <c r="I6" i="3"/>
  <c r="I46" i="13"/>
  <c r="AK193" i="1"/>
  <c r="D3" i="13" s="1"/>
  <c r="E8" i="5"/>
  <c r="F8" i="3"/>
  <c r="W109" i="13"/>
  <c r="W108" i="13"/>
  <c r="CB47" i="1"/>
  <c r="T108" i="13"/>
  <c r="AY47" i="1"/>
  <c r="W107" i="13" s="1"/>
  <c r="BC47" i="1"/>
  <c r="Q60" i="13" s="1"/>
  <c r="BA47" i="1"/>
  <c r="P60" i="13" s="1"/>
  <c r="T107" i="13"/>
  <c r="T106" i="13"/>
  <c r="CF148" i="1"/>
  <c r="CB149" i="1"/>
  <c r="BZ148" i="1"/>
  <c r="CB148" i="1" s="1"/>
  <c r="BY148" i="1"/>
  <c r="BV133" i="1"/>
  <c r="T112" i="13"/>
  <c r="D7" i="5"/>
  <c r="E7" i="3"/>
  <c r="BZ170" i="1"/>
  <c r="AU197" i="1"/>
  <c r="AU195" i="1"/>
  <c r="AW193" i="1"/>
  <c r="CB20" i="1"/>
  <c r="CE20" i="1"/>
  <c r="I5" i="3"/>
  <c r="T187" i="4"/>
  <c r="W184" i="4"/>
  <c r="AB146" i="4"/>
  <c r="AE146" i="4" s="1"/>
  <c r="AE161" i="4"/>
  <c r="AE121" i="4"/>
  <c r="AE111" i="4" s="1"/>
  <c r="AB111" i="4"/>
  <c r="AB184" i="4" s="1"/>
  <c r="CF115" i="1"/>
  <c r="I4" i="3"/>
  <c r="CE47" i="1"/>
  <c r="AF161" i="4"/>
  <c r="AA111" i="4"/>
  <c r="BA6" i="1"/>
  <c r="P50" i="13" s="1"/>
  <c r="AY6" i="1"/>
  <c r="W105" i="13" s="1"/>
  <c r="BC6" i="1"/>
  <c r="Q50" i="13" s="1"/>
  <c r="AA98" i="4"/>
  <c r="X184" i="4"/>
  <c r="AE98" i="4"/>
  <c r="C7" i="5"/>
  <c r="D7" i="3"/>
  <c r="D10" i="5"/>
  <c r="E10" i="3"/>
  <c r="AF146" i="4"/>
  <c r="L70" i="13"/>
  <c r="M70" i="13" s="1"/>
  <c r="G46" i="13"/>
  <c r="D8" i="5"/>
  <c r="E8" i="3"/>
  <c r="G8" i="3" s="1"/>
  <c r="BD201" i="1"/>
  <c r="CX193" i="1"/>
  <c r="BD195" i="1"/>
  <c r="BG193" i="1"/>
  <c r="BI20" i="1"/>
  <c r="O55" i="13" s="1"/>
  <c r="W106" i="13" s="1"/>
  <c r="BM20" i="1"/>
  <c r="BK20" i="1"/>
  <c r="CA193" i="1"/>
  <c r="BZ115" i="1"/>
  <c r="U106" i="13" l="1"/>
  <c r="Z120" i="13"/>
  <c r="U112" i="13"/>
  <c r="Z126" i="13"/>
  <c r="U107" i="13"/>
  <c r="Z121" i="13"/>
  <c r="U108" i="13"/>
  <c r="Z122" i="13"/>
  <c r="Z127" i="13" s="1"/>
  <c r="AF111" i="4"/>
  <c r="AF121" i="4"/>
  <c r="CF193" i="1"/>
  <c r="AF98" i="4"/>
  <c r="F8" i="5"/>
  <c r="CB115" i="1"/>
  <c r="BZ105" i="1"/>
  <c r="BG199" i="1"/>
  <c r="BM193" i="1"/>
  <c r="BK193" i="1"/>
  <c r="BK199" i="1" s="1"/>
  <c r="BI193" i="1"/>
  <c r="BG195" i="1"/>
  <c r="D11" i="5"/>
  <c r="F7" i="5"/>
  <c r="C11" i="5"/>
  <c r="W188" i="4"/>
  <c r="AY193" i="1"/>
  <c r="BA193" i="1"/>
  <c r="P90" i="13" s="1"/>
  <c r="BC193" i="1"/>
  <c r="Q90" i="13" s="1"/>
  <c r="CA195" i="1"/>
  <c r="T109" i="13"/>
  <c r="Z123" i="13" s="1"/>
  <c r="L90" i="13"/>
  <c r="E11" i="3"/>
  <c r="G7" i="3"/>
  <c r="D11" i="3"/>
  <c r="AB187" i="4"/>
  <c r="AE188" i="4" s="1"/>
  <c r="AE184" i="4"/>
  <c r="AE187" i="4" s="1"/>
  <c r="X187" i="4"/>
  <c r="AA188" i="4" s="1"/>
  <c r="AA184" i="4"/>
  <c r="AA187" i="4" s="1"/>
  <c r="W187" i="4"/>
  <c r="AF184" i="4"/>
  <c r="I7" i="3"/>
  <c r="CE170" i="1"/>
  <c r="CB170" i="1"/>
  <c r="BV193" i="1"/>
  <c r="BY193" i="1" s="1"/>
  <c r="BZ194" i="1" s="1"/>
  <c r="CB194" i="1" s="1"/>
  <c r="BY133" i="1"/>
  <c r="T113" i="13" l="1"/>
  <c r="U113" i="13" s="1"/>
  <c r="U109" i="13"/>
  <c r="BI199" i="1"/>
  <c r="O90" i="13"/>
  <c r="AH186" i="4"/>
  <c r="AG74" i="4"/>
  <c r="AG136" i="4"/>
  <c r="AF187" i="4"/>
  <c r="AG48" i="4"/>
  <c r="AG5" i="4"/>
  <c r="Q101" i="13"/>
  <c r="P101" i="13"/>
  <c r="AG98" i="4"/>
  <c r="AF188" i="4"/>
  <c r="AG111" i="4"/>
  <c r="I8" i="3"/>
  <c r="CE105" i="1"/>
  <c r="CB105" i="1"/>
  <c r="F10" i="3"/>
  <c r="E10" i="5"/>
  <c r="BZ133" i="1"/>
  <c r="T189" i="4"/>
  <c r="AG146" i="4"/>
  <c r="O98" i="13" l="1"/>
  <c r="W113" i="13"/>
  <c r="F11" i="3"/>
  <c r="G10" i="3"/>
  <c r="G11" i="3" s="1"/>
  <c r="AG184" i="4"/>
  <c r="I10" i="3"/>
  <c r="CE133" i="1"/>
  <c r="CB133" i="1"/>
  <c r="E11" i="5"/>
  <c r="F10" i="5"/>
  <c r="BZ193" i="1"/>
  <c r="BZ195" i="1" l="1"/>
  <c r="CB193" i="1"/>
  <c r="F11" i="5"/>
  <c r="G3" i="5" l="1"/>
  <c r="G4" i="5"/>
  <c r="G5" i="5"/>
  <c r="G7" i="5"/>
  <c r="G8" i="5"/>
  <c r="G9" i="5"/>
  <c r="G6" i="5"/>
  <c r="G10" i="5"/>
  <c r="G11" i="5" l="1"/>
  <c r="AF152" i="1"/>
  <c r="H36" i="13" l="1"/>
  <c r="AF133" i="1"/>
  <c r="N80" i="13" l="1"/>
  <c r="H31" i="13"/>
  <c r="N75" i="13" s="1"/>
  <c r="V110" i="13" s="1"/>
  <c r="V113" i="13" s="1"/>
  <c r="AF193" i="1"/>
  <c r="C3" i="13" s="1"/>
  <c r="H46" i="13" l="1"/>
</calcChain>
</file>

<file path=xl/comments1.xml><?xml version="1.0" encoding="utf-8"?>
<comments xmlns="http://schemas.openxmlformats.org/spreadsheetml/2006/main">
  <authors>
    <author>Android</author>
    <author>www.intercambiosvirtuales.org</author>
  </authors>
  <commentList>
    <comment ref="I9" authorId="0">
      <text>
        <r>
          <rPr>
            <b/>
            <sz val="9"/>
            <color indexed="81"/>
            <rFont val="Tahoma"/>
            <family val="2"/>
          </rPr>
          <t>Android:</t>
        </r>
        <r>
          <rPr>
            <sz val="9"/>
            <color indexed="81"/>
            <rFont val="Tahoma"/>
            <family val="2"/>
          </rPr>
          <t xml:space="preserve">
Indicador ambiental resolucion 643 de 2004</t>
        </r>
      </text>
    </comment>
    <comment ref="I16" authorId="0">
      <text>
        <r>
          <rPr>
            <b/>
            <sz val="9"/>
            <color indexed="81"/>
            <rFont val="Tahoma"/>
            <family val="2"/>
          </rPr>
          <t>Android:</t>
        </r>
        <r>
          <rPr>
            <sz val="9"/>
            <color indexed="81"/>
            <rFont val="Tahoma"/>
            <family val="2"/>
          </rPr>
          <t xml:space="preserve">
Indicador de gestion resolucion 964 de 2007</t>
        </r>
      </text>
    </comment>
    <comment ref="I17" authorId="0">
      <text>
        <r>
          <rPr>
            <b/>
            <sz val="9"/>
            <color indexed="81"/>
            <rFont val="Tahoma"/>
            <family val="2"/>
          </rPr>
          <t>Android:</t>
        </r>
        <r>
          <rPr>
            <sz val="9"/>
            <color indexed="81"/>
            <rFont val="Tahoma"/>
            <family val="2"/>
          </rPr>
          <t xml:space="preserve">
Indicador de gestion resolucion 964 de 2007</t>
        </r>
      </text>
    </comment>
    <comment ref="I26" authorId="0">
      <text>
        <r>
          <rPr>
            <b/>
            <sz val="9"/>
            <color indexed="81"/>
            <rFont val="Tahoma"/>
            <family val="2"/>
          </rPr>
          <t>Android:</t>
        </r>
        <r>
          <rPr>
            <sz val="9"/>
            <color indexed="81"/>
            <rFont val="Tahoma"/>
            <family val="2"/>
          </rPr>
          <t xml:space="preserve">
Indicador de gestion resolucion 964 de 2007</t>
        </r>
      </text>
    </comment>
    <comment ref="I27" authorId="0">
      <text>
        <r>
          <rPr>
            <b/>
            <sz val="9"/>
            <color indexed="81"/>
            <rFont val="Tahoma"/>
            <family val="2"/>
          </rPr>
          <t>Android:</t>
        </r>
        <r>
          <rPr>
            <sz val="9"/>
            <color indexed="81"/>
            <rFont val="Tahoma"/>
            <family val="2"/>
          </rPr>
          <t xml:space="preserve">
Indicador de gestion resolucion 964 de 2007</t>
        </r>
      </text>
    </comment>
    <comment ref="I29" authorId="0">
      <text>
        <r>
          <rPr>
            <b/>
            <sz val="9"/>
            <color indexed="81"/>
            <rFont val="Tahoma"/>
            <family val="2"/>
          </rPr>
          <t>Android:</t>
        </r>
        <r>
          <rPr>
            <sz val="9"/>
            <color indexed="81"/>
            <rFont val="Tahoma"/>
            <family val="2"/>
          </rPr>
          <t xml:space="preserve">
Indicador de gestion resolucion 964 de 2007</t>
        </r>
      </text>
    </comment>
    <comment ref="O92" authorId="1">
      <text>
        <r>
          <rPr>
            <b/>
            <sz val="9"/>
            <color indexed="81"/>
            <rFont val="Tahoma"/>
            <family val="2"/>
          </rPr>
          <t>El indicador de esta actividad no es acumulativo sino que las 4 reservas se mantienen simultáneamente en el tiempo</t>
        </r>
      </text>
    </comment>
    <comment ref="O95" authorId="1">
      <text>
        <r>
          <rPr>
            <sz val="9"/>
            <color indexed="81"/>
            <rFont val="Tahoma"/>
            <family val="2"/>
          </rPr>
          <t xml:space="preserve">la meta no acumula sino que permanece en el tiempo
</t>
        </r>
      </text>
    </comment>
  </commentList>
</comments>
</file>

<file path=xl/sharedStrings.xml><?xml version="1.0" encoding="utf-8"?>
<sst xmlns="http://schemas.openxmlformats.org/spreadsheetml/2006/main" count="2179" uniqueCount="1356">
  <si>
    <t>UNIDAD DE MEDIDA</t>
  </si>
  <si>
    <t>META 2017</t>
  </si>
  <si>
    <t>META 2018</t>
  </si>
  <si>
    <t>META 2019</t>
  </si>
  <si>
    <t>PROYECTO</t>
  </si>
  <si>
    <t>OTRAS FUENTES 
(Pesos)</t>
  </si>
  <si>
    <t>INDICADOR</t>
  </si>
  <si>
    <t>TOTAL 2016 - 2019</t>
  </si>
  <si>
    <t>LINEA ESTRATEGICA</t>
  </si>
  <si>
    <t>OBJETIVO</t>
  </si>
  <si>
    <t>PROGRAMA</t>
  </si>
  <si>
    <t>ACTIVIDADES/METAS</t>
  </si>
  <si>
    <t>PRESUPUESTO</t>
  </si>
  <si>
    <t>RECURSOS DE LA NACION (Pesos)</t>
  </si>
  <si>
    <t>RECURSOS PROPIOS (Pesos)</t>
  </si>
  <si>
    <t>PONDERACION PROYECTOS %</t>
  </si>
  <si>
    <t>PONDERACION PROGRAMAS %</t>
  </si>
  <si>
    <t>TOTAL</t>
  </si>
  <si>
    <t>PLANEACION AMBIENTAL, ORDENAMIENTO TERRITORIAL Y ORIENTACION ESTRATEGICA</t>
  </si>
  <si>
    <t>Asistencia Técnica y acompañamiento en procesos de planeación y ordenamiento a entes territoriales</t>
  </si>
  <si>
    <t>Incorporación de la gestion del riesgo en los procesos de planificación ambiental territorial.</t>
  </si>
  <si>
    <t>Fortalecimiento a la Planeación Institucional</t>
  </si>
  <si>
    <t>Formulación del Plan de Acción Institucional</t>
  </si>
  <si>
    <t>Gestión, seguimiento al PAI y operación del Banco de Proyectos</t>
  </si>
  <si>
    <t xml:space="preserve">Plan de Gestión Ambiental Regional PGAR </t>
  </si>
  <si>
    <t>Fortalecimiento del Sistema de Gestión Institucional articulado con el MECI</t>
  </si>
  <si>
    <t>Mantenimiento y mejora del Sistema de Gestión Institucional  articulado con el MECI</t>
  </si>
  <si>
    <t>Información y comunicación institucional</t>
  </si>
  <si>
    <t>GESTIÓN DEL RIESGO</t>
  </si>
  <si>
    <t>Conocimiento y reducción del Riesgo en el departamento de Nariño</t>
  </si>
  <si>
    <t xml:space="preserve">Caracterización y evaluación de amenazas naturales </t>
  </si>
  <si>
    <t xml:space="preserve">Prevención de incendios forestales y asistencia para la evaluación y recuperación de zonas afectadas en el departamento de nariño </t>
  </si>
  <si>
    <t>ORDENACIÓN Y MANEJO DE CUENCAS</t>
  </si>
  <si>
    <t>Ordenación y manejo de las Cuencas de los ríos:  Pasto,  Guamués, Juanambú, Guáitara, Güisa, Mayo,  Mira y Mataje</t>
  </si>
  <si>
    <t>Formulación y/o ajuste de los Planes de Ordenación y Manejo de las Cuencas  Hidrográficas priorizadas</t>
  </si>
  <si>
    <t xml:space="preserve">Restauración y conservación de coberturas vegetales en cuencas priorizadas </t>
  </si>
  <si>
    <t xml:space="preserve">Mantenimiento de áreas en restauración de coberturas vegetales en cuencas priorizadas </t>
  </si>
  <si>
    <t>Prevención de la deforestación de bosques naturales mediante incentivos a  la conservación en cuencas priorizadas</t>
  </si>
  <si>
    <t>Restauración y conservación de coberturas vegetales en la cuenca del río Mayo (Transferencias del sector eléctrico)</t>
  </si>
  <si>
    <t>Prevención de la deforestación de bosques naturales mediante incentivos a  la conservación en la cuenca del río Mayo (Transferencias sector eléctrico)</t>
  </si>
  <si>
    <t xml:space="preserve">Formulación de planes de ordenación del recurso hídrico en microcuencas priorizadas </t>
  </si>
  <si>
    <t>Actualización de los PORH formulados años 2011 y 2014 de acuerdo a la nueva guìa de ordenamiento del recurso hídrico 2014</t>
  </si>
  <si>
    <t xml:space="preserve">Reglamentación de fuentes hídricas </t>
  </si>
  <si>
    <t>Ejecución de acciones priorizadas en los  los Planes de Ordenamiento del Recurso Hídrico - PORH  (Tasas Retributivas)</t>
  </si>
  <si>
    <t>Cofinanciación de estudios y diseños asociados a los proyectos de inversión en descontaminación y monitoreo de la calidad del recurso hídrico</t>
  </si>
  <si>
    <t xml:space="preserve">Cofinanciación de obras en descontaminación hídrica del sector agua potable y saneamiento básico que hagan parte del Plan Ambiental del PAP - PDA Nariño previamente concertado con CORPONARIÑO </t>
  </si>
  <si>
    <t>Administración y seguimiento del programa de Tasas Retributivas por vertimientos puntuales</t>
  </si>
  <si>
    <t xml:space="preserve">Monitoreo de la calidad del recurso hídrico </t>
  </si>
  <si>
    <t>Monitoreo de permisos de vertimiento y PSMV</t>
  </si>
  <si>
    <t>Monitoreo de la calidad del recurso hídrico y monitoreo de playas - REDCAM</t>
  </si>
  <si>
    <t xml:space="preserve">Mantenimiento del programa de tasa de uso del agua y seguimiento a usuarios de concesiones y a Planes de Uso Eficiente y Ahorro del Agua - PUEAA </t>
  </si>
  <si>
    <t xml:space="preserve">Seguimiento PUEAA, concesiones y Tasa de Uso del Agua -TUA </t>
  </si>
  <si>
    <t>Implementación de actividades de protección, recuperación o monitoreo del recurso hídrico en cuencas, a partir de los POMCAS o de los instrumentos de planificación de la Corporación (Artículo 216 Ley 1450/11 recursos TUA)</t>
  </si>
  <si>
    <t>Protección, recuperación y monitoreo del recurso hídrico en cuencas priorizadas</t>
  </si>
  <si>
    <t>BIODIVERSIDAD Y SERVICIOS ECOSISTEMICOS</t>
  </si>
  <si>
    <t>Conocimiento de la biodiversidad y sus servicios ecosistémicos</t>
  </si>
  <si>
    <t>Complementación de estudios técnicos base para la delimitación de páramos (Artículo 173 Ley 1753 de 2015 PND)</t>
  </si>
  <si>
    <t xml:space="preserve">Formulación e implementación de acciones para la conservación de especies Valores Objeto de Conservación (flora y fauna silvestre), acorde con sus planes de manejo </t>
  </si>
  <si>
    <t>Estudios técnicos para la declaratoria y formulación de planes de manejo de áreas protegidas</t>
  </si>
  <si>
    <t>Impulso al establecimiento de áreas protegidas planificadas en el departamento de Nariño (Convenio NCI 175 mayo 2015)</t>
  </si>
  <si>
    <t>Usos de la biodiversidad y sus servicios ecosistémicos</t>
  </si>
  <si>
    <t>Páramos: Biodiversidad y recurso hídrico en los Andes del Norte, Contrapartida proyecto IAvH-UE</t>
  </si>
  <si>
    <t>Implementación de acciones de usos sostenibles priorizados en los planes de manejo de ecosistemas estratégicos (humedales:  La Cocha, Totoral y manglares)</t>
  </si>
  <si>
    <t>Conservación de la biodiversidad y sus servicios ecosistémicos</t>
  </si>
  <si>
    <t xml:space="preserve">Implementación de acciones de conservación priorizadas en los planes de manejo de ecosistemas estratégicos (humedales y manglares)  </t>
  </si>
  <si>
    <t>Recuperación del conocimiento ancestral y tradicional para la conservación y producción sostenible</t>
  </si>
  <si>
    <t>Fortalecimiento de los procesos de administración de las reservas forestales protectoras nacionales: Cuenca Alta del río Nembí, Río Bobo y Buesaquillo, Laguna de la Cocha Cerro Patascoy y La Planada en el departamento de Nariño</t>
  </si>
  <si>
    <t xml:space="preserve">Administración de las áreas protegidas regionales </t>
  </si>
  <si>
    <t>Restauración, monitoreo y conservación del bosque seco del Patía (Convenio con PNUD)</t>
  </si>
  <si>
    <t>Participación en  SIRAP Macizo y SIRAP Pacífico</t>
  </si>
  <si>
    <t>Manejo ambiental de áreas liberadas Zona de Amenaza Volcánica Alta -ZAVA - Galeras</t>
  </si>
  <si>
    <t>Implementación de acciones priorizadas en zonas con función amortiguadora en PNN (Galeras y Doña Juana)</t>
  </si>
  <si>
    <t>ADAPTACIÓN AL CAMBIO CLIMÁTICO</t>
  </si>
  <si>
    <t>Implementación de estrategias de adaptación al cambio climático</t>
  </si>
  <si>
    <t>Diseño estrategia de adaptación a efectos generados por los fenómenos Niño - Niña</t>
  </si>
  <si>
    <t>Fortalecimiento del trabajo Red Departamental de Cambio Climático en articulación con Nodo Pacífico Sur</t>
  </si>
  <si>
    <t>MEJORAMIENTO CALIDAD AMBIENTAL</t>
  </si>
  <si>
    <t>Gestión integral de residuos sólidos</t>
  </si>
  <si>
    <t>Gestión de residuos sólidos peligrosos Hospitalarios</t>
  </si>
  <si>
    <t>Seguimiento a Planes de Gestión Integral de Residuos Sólidos municipales PGIRS</t>
  </si>
  <si>
    <t>Capacitación y educación ambiental en manejo de residuos sólidos urbanos y peligrosos asociados a los compromisos PGIRS</t>
  </si>
  <si>
    <t>Control y seguimiento en el adecuado manejo de residuos sólidos urbanos y peligrosos por parte de las Administraciones municipales y Empresas Prestadoras de Servicios Públicos (Rellenos Sanitarios)</t>
  </si>
  <si>
    <t xml:space="preserve">Control y seguimiento a la calidad del aire </t>
  </si>
  <si>
    <t>Monitoreo de la calidad de aire</t>
  </si>
  <si>
    <t xml:space="preserve">Evaluacion, control y  seguimiento a fuentes fijas y móviles generadores de contaminantes </t>
  </si>
  <si>
    <t>Evaluación, control y seguimiento a contaminacion de ruido</t>
  </si>
  <si>
    <t>Evaluación y seguimiento de Planes de Contingencia de Estaciones de Servicio</t>
  </si>
  <si>
    <t>PRODUCCIÓN  Y CONSUMO SOSTENIBLE</t>
  </si>
  <si>
    <t xml:space="preserve">Fomento a la Producción y Consumo Sostenible en los sectores productivos del departamento de Nariño </t>
  </si>
  <si>
    <t>Desarrollo del Programa de Incentivo al Desempeño Ambiental - PIDA</t>
  </si>
  <si>
    <t>Fortalecimiento de acciones de produccion sostenible   con entidades   territoriales,   públicas ,  privadas  y  organizaciones sin  ánimo  de  lucro</t>
  </si>
  <si>
    <t>Acuerdos de producción más limpia</t>
  </si>
  <si>
    <t>Fomento de tecnologías limpias en la minería del oro en los municipios de mineros</t>
  </si>
  <si>
    <t xml:space="preserve">Asistencia técnica, prevención, descontaminación y seguimiento en procesos de beneficio mineral </t>
  </si>
  <si>
    <t>PARTICIPACION CIUDADANA, FORTALECIMIENTO DE ORGANIZACIONES Y EDUCACIÓN AMBIENTAL</t>
  </si>
  <si>
    <t>Educación, participación y difusión a la comunidad</t>
  </si>
  <si>
    <t>Fortalecimiento a los CIDEAS, CEAM, PRAES y PROCEDAS</t>
  </si>
  <si>
    <t>Campañas y eventos de educación ambiental</t>
  </si>
  <si>
    <t>Ejecución de estrategias de educación ambiental</t>
  </si>
  <si>
    <t>Participación y fortalecimiento de organizaciones étnicas y ambientales</t>
  </si>
  <si>
    <t>GESTIÓN  Y FORTALECIMIENTO INSTITUCIONAL</t>
  </si>
  <si>
    <t>Mejoramiento de las rentas y gestión por proyecto</t>
  </si>
  <si>
    <t>Mejoramiento de ingresos - cobro coactivo y persuasivo</t>
  </si>
  <si>
    <t>Fortalecimiento del proceso misional Gestión Jurídica</t>
  </si>
  <si>
    <t xml:space="preserve">Acompañamiento y fortalecimiento a los procesos y procedimientos de Gestión Jurídica </t>
  </si>
  <si>
    <t>Apoyo a la actualización catastral municipios priorizados</t>
  </si>
  <si>
    <t>Operación y administración de los Sistemas de Información de la Corporación (Ambiental y administrativo)</t>
  </si>
  <si>
    <t xml:space="preserve">Operación de los sistemas de Información </t>
  </si>
  <si>
    <t xml:space="preserve">Estrategia de Gobierno en línea  </t>
  </si>
  <si>
    <t>Seguimiento y evaluación del SGI y MECI</t>
  </si>
  <si>
    <t>CONTROL Y MANEJO DE LOS RECURSOS NATURALES Y EL AMBIENTE</t>
  </si>
  <si>
    <t>Fortalecimiento de la Autoridad Ambiental Proceso Licencias, Permisos y Autorizaciones Ambientales</t>
  </si>
  <si>
    <t>Ejercer la autoridad ambiental en minería de materiales de construcción en el departamento de Nariño</t>
  </si>
  <si>
    <t>Ejercer la autoridad ambiental en minería de oro, cumplimiento de Auto 073 y alertas tempranas en el departamento de Nariño.</t>
  </si>
  <si>
    <t>Control y monitoreo a la fauna y flora silvestre</t>
  </si>
  <si>
    <t>Fortalecimiento Centros de Atencion y Valoracion de Flora - CAV en las sedes institucionales</t>
  </si>
  <si>
    <t>Aplicación de la estrategia nacional de control y vigilancia forestal (Capítulo I Flora Silvestre Decreto Unico 1076 del 2015)</t>
  </si>
  <si>
    <t xml:space="preserve">Cumplimiento del Plan Nacional Sectorial Ambiental para la Prevencion y Vigilancia de la Influencia Aviar ( Resolucion 1609 del 2015)  </t>
  </si>
  <si>
    <t>Tratamiento, rehabilitación y marcaje de especímenes  de  fauna decomisada; recibidos en el centro de paso (Resolución 2064 del 21 de octubre de 2010)</t>
  </si>
  <si>
    <t>Identificación control y  monitoreo del caracol africano (Achatina fulica)</t>
  </si>
  <si>
    <t>Administración, control y manejo de recursos naturales</t>
  </si>
  <si>
    <t>Fortalecimiento de la Autoridad Ambiental Proceso Ordenación y Manejo de los Recursos Naturales</t>
  </si>
  <si>
    <t>Asistencia técnica, atención a solicitudes y seguimiento de programas y proyectos (SISA)</t>
  </si>
  <si>
    <r>
      <t>Mantenimiento, operación y mejora del laboratorio de calidad ambiental bajo la norma NTC ISO/IEC 17025</t>
    </r>
    <r>
      <rPr>
        <b/>
        <sz val="8"/>
        <color indexed="10"/>
        <rFont val="Arial"/>
        <family val="2"/>
      </rPr>
      <t/>
    </r>
  </si>
  <si>
    <t>LOCALIZACION</t>
  </si>
  <si>
    <t>Conocimiento de la biodiversidad y de los servicios ecosistémicos</t>
  </si>
  <si>
    <t>Recuperación del conocimiento ancestral y tradicional para la conservación y producción sostenible en el piedemonte costero y costa pacífica</t>
  </si>
  <si>
    <t xml:space="preserve">Administración y ejecución de los planes de manejo de las áreas protegidas regionales </t>
  </si>
  <si>
    <t>ZAVA - Galeras</t>
  </si>
  <si>
    <t>Implementación de acciones priorizadas en zonas con función amortiguadora en PNN</t>
  </si>
  <si>
    <t xml:space="preserve"> (Galeras y Doña Juana)</t>
  </si>
  <si>
    <t>Documento técnico de caracterización elaborado</t>
  </si>
  <si>
    <t>Especies de flora y fauna amenazadas, con planes de conservación en ejecución</t>
  </si>
  <si>
    <t>Areas protegidas declaradas en la jurisdicción de la Corporación, con planes de manejo en ejecución</t>
  </si>
  <si>
    <t>Instancias de participación fortalecidas</t>
  </si>
  <si>
    <t>Número de componentes implementados</t>
  </si>
  <si>
    <t>Documento</t>
  </si>
  <si>
    <t>Número</t>
  </si>
  <si>
    <t>RFPN</t>
  </si>
  <si>
    <t>Unidad</t>
  </si>
  <si>
    <t xml:space="preserve">PUEAA con seguimiento </t>
  </si>
  <si>
    <t>porcentaje</t>
  </si>
  <si>
    <t xml:space="preserve">Control y monitoreo de residuos sólidos peligrosos </t>
  </si>
  <si>
    <t>Visitas de control y monitoreo de residuos peligrosos hospitalarios</t>
  </si>
  <si>
    <t>Visitas de control y monitoreo de residuos peligrosos (Inflamables, radioactivos, corrosivos, explosivos)</t>
  </si>
  <si>
    <t>Registros de generadores de residuos o desechos peligrosos en la jurisdicción</t>
  </si>
  <si>
    <t>Seguimiento a los compromisos establecidos en los PGRIS municipales.</t>
  </si>
  <si>
    <t>Porcentaje</t>
  </si>
  <si>
    <t>Capacitacion a los generadores de residuos solidos peligrosos y urbanos en el departamento de Nariño</t>
  </si>
  <si>
    <t>Personas capacitadas</t>
  </si>
  <si>
    <t>Control y seguimiento en el adecuado manejo de residuos sólidos urbanos y peligrosos por parte de las Administraciones municipales y Empresas Prestadoras de Servicios Públicos</t>
  </si>
  <si>
    <t>Visitas de control y monitoreo</t>
  </si>
  <si>
    <t xml:space="preserve">Hectáreas </t>
  </si>
  <si>
    <t xml:space="preserve"> </t>
  </si>
  <si>
    <t>Incentivos a la conservación en areas de influencia de la cuenca del rio Mayo implementados</t>
  </si>
  <si>
    <t>Formulación de Planes de Ordenamiento del Recurso Hidrico (Tasa Retributuva)</t>
  </si>
  <si>
    <t>Asesoría a los entes territoriales en el proceso de integración de la gestión del riesgo en el ordenamiento territorial, considerando los instrumentos de planificación del riesgo que desarrollen e implementen los municipios</t>
  </si>
  <si>
    <t xml:space="preserve">Ejecución de acciones a partir de estrategias que generen cambio hacia el fortalecimiento de la cultura ambiental ciudadana </t>
  </si>
  <si>
    <t>Ejecucion de campañas que se definen siguiendo lineamientos establecidos en el proyecto de educación ambiental participación y difusión a la comunidad.</t>
  </si>
  <si>
    <t xml:space="preserve">Adelantar estrategias de fortalecimiento a los Comités Interinstitucionales de Educación Ambiental, PRAES, PRAU, y PROCEDAS siguiendo lineamientos establecidos en la Política Nacional de Educación Ambiental y el Plan Decenal Departamental de Educación Ambiental </t>
  </si>
  <si>
    <t xml:space="preserve">Seguimientos a mapas de Riesgo, Servicio No Conforme y Planes de Mejora </t>
  </si>
  <si>
    <t>Auditorias Independientes</t>
  </si>
  <si>
    <t>Auditoría Interna</t>
  </si>
  <si>
    <t>Fortalecimiento del Autocontrol, Autogestion y Autoregulación</t>
  </si>
  <si>
    <t>Número de auditorías Ejecutadas</t>
  </si>
  <si>
    <t>Número de Auditorias Ejecutadas</t>
  </si>
  <si>
    <t>Número de talleres</t>
  </si>
  <si>
    <t xml:space="preserve">Número de seguimientos :  3 seguimientos a mapas de reisgo, 4 seguimientos a servicio no conforme y 4 seguimientos a planes de mejora </t>
  </si>
  <si>
    <t>92.5</t>
  </si>
  <si>
    <t>CAV adecuados y/o mejorados</t>
  </si>
  <si>
    <t>Retenes - operativos de control realizados</t>
  </si>
  <si>
    <t xml:space="preserve">Cumplimiento del Plan Nacional Sectorial Ambiental para la Prevencion y Vigilancia de la Influencia Aviar </t>
  </si>
  <si>
    <t>Especies decomisadas</t>
  </si>
  <si>
    <t>Visitas de prevención,control y manejo de la especie Caracol Africano (Achatina fulica)</t>
  </si>
  <si>
    <t>Educación Ambiental en torno a la conservación y manejo de los recursos flora y fauna, incluyendo material didáctico y divulgativo</t>
  </si>
  <si>
    <t>EN 2016 SE FINANCIA CON RAE MAS $24.904.706. DE TUA Y $3 MILL DE RECUPERACION DE CARTERA</t>
  </si>
  <si>
    <t>2016 SON $199.237.643 MAS $24 MILL DE RECUPERACION DE CARTERA</t>
  </si>
  <si>
    <t>????????????</t>
  </si>
  <si>
    <t>Porcentaje de tiempo promedio en resolver una actuación</t>
  </si>
  <si>
    <t>Porcentaje de recaudo en jurisdicción coactiva</t>
  </si>
  <si>
    <t>Porcentaje de expedientes para adelantar actuaciones tramitados</t>
  </si>
  <si>
    <t>Apoyo en la gestón de representaci{on de la entidad en los procesos judiciales</t>
  </si>
  <si>
    <t>Porcentaje de asuntos con representación judicial</t>
  </si>
  <si>
    <t>Porcentaje de expedientes sancionatorios tramitados</t>
  </si>
  <si>
    <t>Porcentaje de actos administrativos tramitados</t>
  </si>
  <si>
    <t>Apoyo en la gestión en los procesos administrativos sancionatorios</t>
  </si>
  <si>
    <t>Fortalecer el proceso de notificaci{on de actos administrativos del a entidad</t>
  </si>
  <si>
    <t>Reglamentación en corrientes hídricas priorizadas</t>
  </si>
  <si>
    <t>PORH actualizados según la guía de ordenamiento expedida por el MADS</t>
  </si>
  <si>
    <t>RECURSOS PROPIOS</t>
  </si>
  <si>
    <t>RECURSOS NACION</t>
  </si>
  <si>
    <t>GASTOS DE PERSONAL</t>
  </si>
  <si>
    <t>GASTOS GENERALES</t>
  </si>
  <si>
    <t>TASA POR USO DEL AGUA</t>
  </si>
  <si>
    <t>10 % FCA</t>
  </si>
  <si>
    <t>10% ADMON. PROGRAMA</t>
  </si>
  <si>
    <t>80% PROYECTO</t>
  </si>
  <si>
    <t>RECUPERACION DE CARTERA</t>
  </si>
  <si>
    <t>TASA POR USO DE AGUA E INTERESES</t>
  </si>
  <si>
    <t>TASA RETRIBUTIVA Y COMPENSATORIA</t>
  </si>
  <si>
    <t>FCA 10%</t>
  </si>
  <si>
    <t>ADMINISTRACION PROGRAMA 10%</t>
  </si>
  <si>
    <t>PROYECTO 80%</t>
  </si>
  <si>
    <t>TASA RETRIBUTIVA E INTERESES</t>
  </si>
  <si>
    <t>RENDIMIENTOS FINANCIEROS</t>
  </si>
  <si>
    <t>40% TASAS RETRIBUTIVAS</t>
  </si>
  <si>
    <t>DISTRIBUCION</t>
  </si>
  <si>
    <t xml:space="preserve">10% ADMINISTRACION </t>
  </si>
  <si>
    <t xml:space="preserve">90% PROYECTO </t>
  </si>
  <si>
    <t>TRANSFERENCIAS DEL SECTOR ELECTRICO</t>
  </si>
  <si>
    <t>20% FCA</t>
  </si>
  <si>
    <t>80% PROYECTOS MAYO</t>
  </si>
  <si>
    <t>RUBRO</t>
  </si>
  <si>
    <t>Recursos del Balance</t>
  </si>
  <si>
    <t>Anexo No. 2</t>
  </si>
  <si>
    <t>PROYECCION PRESUPUESTO DE GASTOS 2016 SEGÚN FUENTES DE FINANCIACION</t>
  </si>
  <si>
    <t>PROYECTOS</t>
  </si>
  <si>
    <t xml:space="preserve">PRESUPUESTO TOTAL </t>
  </si>
  <si>
    <t>FUENTES DE FINANCIACION RECURSOS PROPIOS 2016</t>
  </si>
  <si>
    <t>REVISAR URGENTE</t>
  </si>
  <si>
    <t>CONVENIOS</t>
  </si>
  <si>
    <t>TOTAL RECURSOS
(PROPIOS +NACION)</t>
  </si>
  <si>
    <t>Sobretasa Ambiental</t>
  </si>
  <si>
    <t>Porcentaje Ambiental</t>
  </si>
  <si>
    <t>Transferencias Sector Eléctrico</t>
  </si>
  <si>
    <t>Tasa  Retributiva</t>
  </si>
  <si>
    <t>Tasa Uso Agua</t>
  </si>
  <si>
    <t>Tasa Aprovechamiento Forestal</t>
  </si>
  <si>
    <t>Convenios</t>
  </si>
  <si>
    <t>Otras Fuentes</t>
  </si>
  <si>
    <t xml:space="preserve">Adquisición de Bienes y Servicios </t>
  </si>
  <si>
    <t>Impuestos y multas</t>
  </si>
  <si>
    <t>TRANSFERENCIAS CORRIENTES</t>
  </si>
  <si>
    <t>ADMINISTRACIÓN PUBLICA CENTRAL</t>
  </si>
  <si>
    <t>Cuota de Auditaje Contraloría Nacional</t>
  </si>
  <si>
    <t>Fondo de Compensación Ambiental</t>
  </si>
  <si>
    <t>Otros</t>
  </si>
  <si>
    <t>TRANSFERENCIAS PREVISIÓN Y SEGURIDAD SOCIAL</t>
  </si>
  <si>
    <t>Mesadas Pensionales</t>
  </si>
  <si>
    <t>Bonos Pensionales</t>
  </si>
  <si>
    <t>OTRAS TRANSFERENCIAS</t>
  </si>
  <si>
    <t>SENTENCIAS Y CONCILIACIONES</t>
  </si>
  <si>
    <t>Sentencias y Conciliaciones</t>
  </si>
  <si>
    <t>OTRAS</t>
  </si>
  <si>
    <t>TOTAL GASTOS DE FUNCIONAMIENTO</t>
  </si>
  <si>
    <t>TOTAL GASTOS DE INVERSION</t>
  </si>
  <si>
    <t>ok</t>
  </si>
  <si>
    <t>1.1-20</t>
  </si>
  <si>
    <r>
      <t>Incorporación de la Dimensión Ambiental en los procesos de ordenamiento Territorial y en  los planes de desarrollo municipal</t>
    </r>
    <r>
      <rPr>
        <sz val="8"/>
        <color indexed="10"/>
        <rFont val="Arial"/>
        <family val="2"/>
      </rPr>
      <t/>
    </r>
  </si>
  <si>
    <t>1.2 - 20</t>
  </si>
  <si>
    <t>1.3 - 20</t>
  </si>
  <si>
    <t>FALTA PROPUESTA</t>
  </si>
  <si>
    <t xml:space="preserve">2.1 - 20 </t>
  </si>
  <si>
    <r>
      <t>Alimentación Sistema de Información para la gestión del riesgo</t>
    </r>
    <r>
      <rPr>
        <sz val="8"/>
        <color indexed="10"/>
        <rFont val="Arial"/>
        <family val="2"/>
      </rPr>
      <t/>
    </r>
  </si>
  <si>
    <t>OK, PENDIENTE REVISAR Y JUSTIFICAR LA INCLUISION O EXCLUSION DE ALGUNOS INDICADORES</t>
  </si>
  <si>
    <t>3.1-20 y 21</t>
  </si>
  <si>
    <t xml:space="preserve">3.1.1-20 </t>
  </si>
  <si>
    <t xml:space="preserve">3.1.2-20 </t>
  </si>
  <si>
    <t xml:space="preserve">3.1.3-20 </t>
  </si>
  <si>
    <t xml:space="preserve">3.1.4-20     </t>
  </si>
  <si>
    <t>3.1.5-21 TSE</t>
  </si>
  <si>
    <t>3.1.6-21 TSE</t>
  </si>
  <si>
    <t>OK, PENDIENTE REVISAR Y JUSTIFICAR LA INCLUISION O EXCLUSION DE ALGUNOS INDICADORES Y UNIFICAR EN UN SOLO PROYECRO EL 80% DE TR</t>
  </si>
  <si>
    <t>3.2 - 20
TR</t>
  </si>
  <si>
    <t>Formulación de planes de ordenamiento del recurso hídrico (Tasas Retributivas)</t>
  </si>
  <si>
    <t>OK, IDEM ANTERIOR</t>
  </si>
  <si>
    <t>3.3 - 20
TR</t>
  </si>
  <si>
    <t>OK</t>
  </si>
  <si>
    <t>3.4 - 20</t>
  </si>
  <si>
    <t>OK, REVISAR INDICADORES Y JUSTIFICAR SU EXCLUSION</t>
  </si>
  <si>
    <t>3.5 - 20</t>
  </si>
  <si>
    <t>FALTA PROPUESTA SISA</t>
  </si>
  <si>
    <t>3.6 - 20</t>
  </si>
  <si>
    <t>OK, PENDIENTE REVISAR INDICADORES</t>
  </si>
  <si>
    <t>4.1 - 20 y 21</t>
  </si>
  <si>
    <t>4.1.1 - 20</t>
  </si>
  <si>
    <t>4.1.2 - 20</t>
  </si>
  <si>
    <t>4.1.3 - 20</t>
  </si>
  <si>
    <t>4.1.4 - 21</t>
  </si>
  <si>
    <t>4.2 - 20 y 21</t>
  </si>
  <si>
    <t>4.2.1 - 20 y 4.2.3- 21</t>
  </si>
  <si>
    <t>4.2.2 - 20</t>
  </si>
  <si>
    <t>4.3 - 20</t>
  </si>
  <si>
    <t>4.3.1 - 20</t>
  </si>
  <si>
    <t>4.3.2 - 20</t>
  </si>
  <si>
    <t>4.3.3 - 20</t>
  </si>
  <si>
    <t>4.3.4 - 20</t>
  </si>
  <si>
    <t>4.3.5 - 20</t>
  </si>
  <si>
    <t>4.3.6 - 20</t>
  </si>
  <si>
    <t>4.3.7 - 20</t>
  </si>
  <si>
    <t>4.3.8 - 20</t>
  </si>
  <si>
    <t>5.1 - 20</t>
  </si>
  <si>
    <t>OK, FALTA JUSTIFICACION DE LA EXCLUSION DE INDICADORES</t>
  </si>
  <si>
    <t>6.1 - 20</t>
  </si>
  <si>
    <t>FALTA CONOCER LA PROPUESTA</t>
  </si>
  <si>
    <t>6.2 - 20</t>
  </si>
  <si>
    <t>NO HAY PROPUESTA</t>
  </si>
  <si>
    <t>6.3 - 20</t>
  </si>
  <si>
    <t>7.1-20</t>
  </si>
  <si>
    <t>SE PRESENTO A NIVEL GENERAL PERO FALTA PROPUESTA</t>
  </si>
  <si>
    <t>7.2-20</t>
  </si>
  <si>
    <t>Revisar Ing. RN</t>
  </si>
  <si>
    <t>8.1 - 20</t>
  </si>
  <si>
    <t>8.1.1-20</t>
  </si>
  <si>
    <t>8.1.2-20</t>
  </si>
  <si>
    <t>8.1.3-20</t>
  </si>
  <si>
    <t>8.1.4-20</t>
  </si>
  <si>
    <t>REVISAR SI SE UNIFICA CON EL SIGUIENTE PROYECTO</t>
  </si>
  <si>
    <t>9.1 - 20</t>
  </si>
  <si>
    <t>9.2 - 20</t>
  </si>
  <si>
    <t>??????????</t>
  </si>
  <si>
    <t>9.3 - 20</t>
  </si>
  <si>
    <t>FALTA PRESENTAR PROPUESTA</t>
  </si>
  <si>
    <t>9.4 - 20</t>
  </si>
  <si>
    <t>9.5 - 20</t>
  </si>
  <si>
    <t>10.1-20</t>
  </si>
  <si>
    <t>????? SUBCEA</t>
  </si>
  <si>
    <t>10.1.1-20</t>
  </si>
  <si>
    <t>?????????????</t>
  </si>
  <si>
    <t xml:space="preserve">10.1.2-20              </t>
  </si>
  <si>
    <t>10.1.3-20</t>
  </si>
  <si>
    <t>??????? SUBCEA</t>
  </si>
  <si>
    <t>10.1.4-20</t>
  </si>
  <si>
    <r>
      <t>Administración, control, seguimiento y monitoreo ambiental</t>
    </r>
    <r>
      <rPr>
        <sz val="8"/>
        <color indexed="10"/>
        <rFont val="Arial"/>
        <family val="2"/>
      </rPr>
      <t/>
    </r>
  </si>
  <si>
    <t>NOMINA SUBCEA</t>
  </si>
  <si>
    <t>10.1.5-20</t>
  </si>
  <si>
    <t>???????? SISA</t>
  </si>
  <si>
    <t>10.2 - 20</t>
  </si>
  <si>
    <t>10.3 - 20</t>
  </si>
  <si>
    <t>TOTAL PRESUPUESTO</t>
  </si>
  <si>
    <t>PRESUPUESTO PROYECTADO</t>
  </si>
  <si>
    <t>INGRESOS</t>
  </si>
  <si>
    <t>GASTOS INV + FUNCIONAMIENTO PROYECTADOS</t>
  </si>
  <si>
    <t>BALANCE</t>
  </si>
  <si>
    <t xml:space="preserve">BALANCE </t>
  </si>
  <si>
    <t>DISMINUIR $20 MIIL E INCREMENTAR $1.200 MILL DONDE?</t>
  </si>
  <si>
    <t>10% FCA</t>
  </si>
  <si>
    <t xml:space="preserve">10% FCA </t>
  </si>
  <si>
    <t>10% FCA recuperacion de cartera en:</t>
  </si>
  <si>
    <t>10% FCA licencias permisos y trámites ambientales (saldo libre destinacion</t>
  </si>
  <si>
    <t>Tasas retributivas destinacion especifica</t>
  </si>
  <si>
    <t>10% FCA jardin botánico (saldo libre destinacion)</t>
  </si>
  <si>
    <t>10% ADMINISTRACION</t>
  </si>
  <si>
    <t>10% PROYECTO</t>
  </si>
  <si>
    <t>Tasas por uso del agua destinación especifica</t>
  </si>
  <si>
    <t>10% FCA operaciones comerciales (saldo libre destinacion)</t>
  </si>
  <si>
    <t>80% ???</t>
  </si>
  <si>
    <t>Otros deudores (Saldo libre destinación)</t>
  </si>
  <si>
    <t>10% FCA otros ingresos (saldo libre destinación)</t>
  </si>
  <si>
    <t>Multas y sanciones (Saldo libre destinación)</t>
  </si>
  <si>
    <t>NO FCA</t>
  </si>
  <si>
    <t xml:space="preserve">NO FCA </t>
  </si>
  <si>
    <t>Sobretasa por compensación ambiental (Todo libre destinación)</t>
  </si>
  <si>
    <t>Rendimientos financieros, pero 40% va para TR con destinación específica y el 60% libre destinación)</t>
  </si>
  <si>
    <t>Administracion y Seguimiento del Programa de Tasas Retributivas por Vertimientos Puntuales</t>
  </si>
  <si>
    <t>Seguimiento a la implementación de acciones  en el marco de los PSMV aprobados por la Corporación</t>
  </si>
  <si>
    <t>Monitoreo de la calidad de agua en zonas costeras</t>
  </si>
  <si>
    <t>Monitoreo de Corrientes Hídricas</t>
  </si>
  <si>
    <t>Planes de saneamiento y manejo de vertimientos PSMV en seguimiento por parte de la Corporación con referencia al número de cabeceras municipales que cuentan con PSMV</t>
  </si>
  <si>
    <t xml:space="preserve">Seguimiento a los usuarios incluidos en el programa de metas de carga contaminantes, en aplicación de la tasa retributiva de  las fuentes hídricas o tamos de las mismas en jurisdiccion de la Corporación </t>
  </si>
  <si>
    <t>Documento del estado de calidad de agua en zonas costeras</t>
  </si>
  <si>
    <t>Corrientes hídricas receptoras de vertimientos con seguimiento.</t>
  </si>
  <si>
    <t>LIBRE DESTINACION RENDIMIENTOS FINANCIEROS</t>
  </si>
  <si>
    <t>PROYECTO ADMON TR</t>
  </si>
  <si>
    <t>PROYECTO ORH Y EJECUCION</t>
  </si>
  <si>
    <t xml:space="preserve">Plan de Acción Institucional 2016 – 2019 aprobado, publicado, socializado y en implementación </t>
  </si>
  <si>
    <t>Instrumento de planificación formulado, concertado y adoptado</t>
  </si>
  <si>
    <t>Formulacion de proyectos  para el fortalecer el financiamiento y ejecución del PAI</t>
  </si>
  <si>
    <t>Sistema Gestor Banco de proyectos operando</t>
  </si>
  <si>
    <t xml:space="preserve">Mitigación de áreas afectadas por eventos naturales o antrópicos </t>
  </si>
  <si>
    <t>Declaratoria de áreas protegidas regionales</t>
  </si>
  <si>
    <t>Ejecución del proyecto Páramos: Biodiversidad y recurso hídrico en los Andes del Norte, Contrapartida proyecto IAvH-UE. Corredor de Páramos Chiles Quitasol</t>
  </si>
  <si>
    <t>Areas protegidas declaradas en la jurisdicción de la Corporación con  ejecución de acciones</t>
  </si>
  <si>
    <t>Estaciones de la red de calidad del aire operando.</t>
  </si>
  <si>
    <t>Pasto, Ipiales y Tumaco</t>
  </si>
  <si>
    <t>Evaluación de la contaminación por ruido.</t>
  </si>
  <si>
    <t>Fuentes móviles verificadas.</t>
  </si>
  <si>
    <t>Asistencia técnica minero metalúrgica para la aplicación de producción limpia.</t>
  </si>
  <si>
    <t xml:space="preserve">Unidades de producción minera con aplicación de procesos de producción limpia en el sector minero </t>
  </si>
  <si>
    <t>%</t>
  </si>
  <si>
    <t xml:space="preserve">Visitas de campo y desplazamientos realizados </t>
  </si>
  <si>
    <t>Garantizar la conectividad de la red para el correcto funcionamiento del sistema de información de indicadores</t>
  </si>
  <si>
    <t>PROYECCION RECURSOS</t>
  </si>
  <si>
    <t>SALDO A CUADRAR</t>
  </si>
  <si>
    <t>Municipios asesorados en la integración de la gestión del riesgo con los Planes, Planes Básicos y Esquemas de Ordenamiento Territorial</t>
  </si>
  <si>
    <t>Seguimiento a los asuntos exclusivamente ambientales considerados en el ordenamiento territorial de municipios priorizados (61 municipios con POT, PBOT o EOT adoptados)</t>
  </si>
  <si>
    <t>Verificación de la armonización de los Planes de Desarrollo Territorial (PDT) `radicados en CORPONARIÑO, con los demás planes de la región en lo que a planificación y gestión ambiental se refiere.</t>
  </si>
  <si>
    <t>Planes de Desarrollo Municipal y Departamental presentados a la CAR, evaluados en la armonización de la planificación y gestión ambiental local y regional</t>
  </si>
  <si>
    <t xml:space="preserve">Fortalecimiento de la infraestructura física y locativa de las sedes administrativas para mejorar la prestación del servicio </t>
  </si>
  <si>
    <t>Fortalecimiento del sistema atención al usuario</t>
  </si>
  <si>
    <t>Diseño e implementación del sistema de seguridad y salud  en el trabajo</t>
  </si>
  <si>
    <t>???</t>
  </si>
  <si>
    <t>Proyectos formulados de acuerdo con los requerimientos metodológicos vigentes</t>
  </si>
  <si>
    <t>Sistema de Gestión Ambiental implementado en la entidad</t>
  </si>
  <si>
    <t>Nùmero</t>
  </si>
  <si>
    <t>Fortalecimiento de la información y comunicación institucional</t>
  </si>
  <si>
    <t>Estrategia de comunicación institucional operativizada en la entidad.</t>
  </si>
  <si>
    <t>Mantenimiento, mejora y actualización del Sistema de Gestión Institucional  articulado con el MECI (ISO 9001:2015)</t>
  </si>
  <si>
    <t>Sistema de Gestión Institucional operativizado, mejorado y actualizado</t>
  </si>
  <si>
    <t>Caracterización y evaluación de amenazas naturales solicitadas y priorizadas por el Comité Departamental de Gestión del Riesgo de Desastres (CAGRD) y Municipio</t>
  </si>
  <si>
    <t>Obras de mitigación o estabilización construidas</t>
  </si>
  <si>
    <t>Cuencas Juanambù, Guáitara, Mira,  Güiza, Mayo, Patia Alto (2016: Juanambú, Guáitara, Mira y Mayo. 2017: Juanambú, Guáitara, Mira, Mayo y Güiza. 2018: Mayo, Güiza y Patía Alto. 2019: Patía Alto)</t>
  </si>
  <si>
    <t>Cuenca río Mayo</t>
  </si>
  <si>
    <t>Cuencas con Planes de ordenación y manejo -POMCA- formulados(Res. 964/07)</t>
  </si>
  <si>
    <t>Implementación de incentivos a la conservación como estrategia para la reducción de la deforestación</t>
  </si>
  <si>
    <t>Permisos de vertimientos con seguimiento con referencia a la totalidad de permisos de vertimientos activos otorgados por la CAR</t>
  </si>
  <si>
    <t>Total de recursos recaudados con referencia al total de recursos facturados por concepto de tasa retributiva.</t>
  </si>
  <si>
    <t xml:space="preserve">Asesoría, evaluación y seguimiento de asuntos ambientales en los procesos de planeación y ordenamiento de los entes territoriales. </t>
  </si>
  <si>
    <r>
      <t>PROYECTOS APROBADOS</t>
    </r>
    <r>
      <rPr>
        <b/>
        <sz val="8"/>
        <color indexed="10"/>
        <rFont val="Arial"/>
        <family val="2"/>
      </rPr>
      <t>2016</t>
    </r>
  </si>
  <si>
    <t>2018: Cuencas ríos Juanambú, Guáitara.
2019: Cuencas ríos Mayo y Güiza</t>
  </si>
  <si>
    <t>Cuencas con Planes de ordenación y manejo -POMCA- en proceso de formulación y/o ajuste</t>
  </si>
  <si>
    <t>Asesoría y capacitación en gestión de riesgo a entes territoriales priorizados</t>
  </si>
  <si>
    <t xml:space="preserve">Estrategia de Corresponsabilidad Social en la lucha contra Incendios Forestales </t>
  </si>
  <si>
    <t>Alimentación Sistema de Información para la gestión del riesgo (SIMMA)</t>
  </si>
  <si>
    <t>Implementación de estrategias de restauración ecológica en areas de interes ambiental.</t>
  </si>
  <si>
    <t>Implementación de estrategias de restauración  ecológica en áreas de interés ambiental (Transferencias del Sector Eléctrico)</t>
  </si>
  <si>
    <t>Implementación incentivos a la conservación como estrategia para la reducción de la deforestación (Transferencias del Sector Eléctrico)</t>
  </si>
  <si>
    <t>Mantenimiento de áreas restauradas en zonas de interés ambiental.</t>
  </si>
  <si>
    <t xml:space="preserve">Hectáreas de deforestación evitada </t>
  </si>
  <si>
    <t>Estudio</t>
  </si>
  <si>
    <t>ENREDD+
EDBC</t>
  </si>
  <si>
    <t>Departamento</t>
  </si>
  <si>
    <r>
      <t>Municipios con seguimiento al cumplimiento de los asuntos ambientales concertados en los POT adoptados</t>
    </r>
    <r>
      <rPr>
        <b/>
        <sz val="8"/>
        <color indexed="10"/>
        <rFont val="Arial"/>
        <family val="2"/>
      </rPr>
      <t>(IMG Res.   /16)</t>
    </r>
  </si>
  <si>
    <t>Formulación de Planes de Ordenamiento del Recurso Hídrico en microcuencas priorizadas por calidad</t>
  </si>
  <si>
    <t>2016: Río Pasto, Quebrada Miraflores, Q. La Fragua, Río Buesaquito e Ijagüí, Q. Mocondino, Río Bermúdez.
2017: Río Chiquito, Río Boquerón, Río Guáitara tramo I, Q. San Juan y Recreo, Q. La Llave, Q. Honda, Q. Surrones.
2018: Quebrada Belén y Magdalena, Río Sapuyes, Río Molinoyaco, Río Tellez, Río Blanco, Río Tescual, Q. Piscoyaco
2019: Río Quiña, Q. Santa Lucía, Q. Pozo Verde, Q. Bateros, Q. Carrizal, Río Bobo, Q. Pilispí, Q. Cutipaz y Q. Boyacá</t>
  </si>
  <si>
    <t>2019: Río Bermúdez y Río Chiquito</t>
  </si>
  <si>
    <t>% de avance en el proceso de reglamentación de las corrientes hídricas priorizadas</t>
  </si>
  <si>
    <t>Ejecución de acciones priorizadas en los Planes de Ordenamiento del Recurso Hídrico - PORH  (Tasas Retributivas)</t>
  </si>
  <si>
    <t>Cofinanciación de proyectos de preinversión y/o inversión en descontaminación hídrica priorizados por la Corporación</t>
  </si>
  <si>
    <t>Seguimiento y evaluación del Plan de Acción Institucional de acuerdo con la normatividad vigente</t>
  </si>
  <si>
    <t xml:space="preserve">Implementación en la Corporación de la norma ISO 14001 (Sistema de Gestión Ambiental) </t>
  </si>
  <si>
    <t>Propuesta técnica y metodológica formulada</t>
  </si>
  <si>
    <t>Seguimiento consolidado al avance del PGAR</t>
  </si>
  <si>
    <t>Costa Pacífica</t>
  </si>
  <si>
    <t>Porcentaje de solicitudes de caracterización y evaluación de amenazas atendidas</t>
  </si>
  <si>
    <t xml:space="preserve">Porcentaje  </t>
  </si>
  <si>
    <r>
      <t>Ejecución de acciones en conocimiento y reducción del riesgo y manejo de desastres.</t>
    </r>
    <r>
      <rPr>
        <b/>
        <sz val="8"/>
        <color indexed="10"/>
        <rFont val="Arial"/>
        <family val="2"/>
      </rPr>
      <t>(IMG Res.  /16)</t>
    </r>
  </si>
  <si>
    <t xml:space="preserve">Entes territoriales capacitados en gestión del riesgo
</t>
  </si>
  <si>
    <t>Sistemas alimentados</t>
  </si>
  <si>
    <t>Número de reportes</t>
  </si>
  <si>
    <r>
      <t>Superficie de cobertura vegetal afectada por incendios</t>
    </r>
    <r>
      <rPr>
        <b/>
        <sz val="8"/>
        <color indexed="10"/>
        <rFont val="Arial"/>
        <family val="2"/>
      </rPr>
      <t>(Ind. Estado Cirdular MADS)</t>
    </r>
  </si>
  <si>
    <r>
      <t>Porcentaje de ejecución de las acciones priorizadas en cada vigencia</t>
    </r>
    <r>
      <rPr>
        <sz val="8"/>
        <color indexed="10"/>
        <rFont val="Arial"/>
        <family val="2"/>
      </rPr>
      <t/>
    </r>
  </si>
  <si>
    <t xml:space="preserve">Cuencas Juanambú, Guáitara, Mira,  Güiza- Alto Mira, Mayo  y Patía Alto. </t>
  </si>
  <si>
    <r>
      <t>Porcentaje de áreas de ecosistemas en restauración, rehabilitación y reforestación</t>
    </r>
    <r>
      <rPr>
        <b/>
        <sz val="8"/>
        <color indexed="10"/>
        <rFont val="Arial"/>
        <family val="2"/>
      </rPr>
      <t>(IMG Res.  /16)</t>
    </r>
  </si>
  <si>
    <t>Porcentaje de áreas de ecosistemas restauradas, rehabilitadas y reforestadas en mantenimiento</t>
  </si>
  <si>
    <r>
      <t>Porcentaje de Planes de Ordenación y Manejo de Cuencas (POMCAS) en ejecución</t>
    </r>
    <r>
      <rPr>
        <b/>
        <sz val="8"/>
        <color indexed="10"/>
        <rFont val="Arial"/>
        <family val="2"/>
      </rPr>
      <t>(IMG Res.  /16)</t>
    </r>
  </si>
  <si>
    <r>
      <t>Porcentaje de avance en la formulación del Plan de Ordenación Forestal</t>
    </r>
    <r>
      <rPr>
        <b/>
        <sz val="8"/>
        <color indexed="10"/>
        <rFont val="Arial"/>
        <family val="2"/>
      </rPr>
      <t>(IMG Res.  /16)</t>
    </r>
  </si>
  <si>
    <t>Tasa promedio anual de deforestación(IMG Res.  /16)</t>
  </si>
  <si>
    <t>ESTA INCLUIDO 10% DE TUA Y RECUPERACION DE CARTERA PARA 2017 A 2019, LO QUE HAY QUE CARGARLO AL DISTRIBUIR POR FUENTES</t>
  </si>
  <si>
    <t xml:space="preserve">2017: Río El Encano y las quebradas Quilinsayaco, Mojondinoy, Motilón, Romerillo, Santa Teresita, San Isidro, Ramos, Afiladores, Santa Lucía y El Carrizo.
2019: Lago Guamués
</t>
  </si>
  <si>
    <t>Número de cuerpos de agua con diagnòstico elaborado en e marco del proceso de formulación de los PORH</t>
  </si>
  <si>
    <r>
      <t>Número de cuerpos de agua con plan de ordenamiento del recurso hídrico (PORH) adoptados</t>
    </r>
    <r>
      <rPr>
        <b/>
        <sz val="8"/>
        <color indexed="10"/>
        <rFont val="Arial"/>
        <family val="2"/>
      </rPr>
      <t>(IMG Res.  /16 - medición expresada en %)</t>
    </r>
  </si>
  <si>
    <r>
      <t>Número de cuerpos de agua con reglamentación del uso de las aguas</t>
    </r>
    <r>
      <rPr>
        <b/>
        <sz val="8"/>
        <color indexed="10"/>
        <rFont val="Arial"/>
        <family val="2"/>
      </rPr>
      <t>(IMG Res  /16 - medición expresada en %)</t>
    </r>
  </si>
  <si>
    <t xml:space="preserve">Número de fuentes hídricas o tramo de las mismas que reciben vertimientos identificadas para el cobro de de tasa retributiva </t>
  </si>
  <si>
    <t>VER QUE % SE PROYECTA EN YS</t>
  </si>
  <si>
    <t>Control y monitoreo a los usuarios generadores de vertimientos</t>
  </si>
  <si>
    <t>Seguimiento al cumplimiento de metas de cargas contaminantes</t>
  </si>
  <si>
    <t>Liquidación de la tasa retributiva en los parámetros fisicoquímicos requeridos por la Normatividad vigente</t>
  </si>
  <si>
    <t>REVISAR SI PARA EL 2016 SE AGREGA EL PRESUPUESTO</t>
  </si>
  <si>
    <t>REVISAR $, SE SALE DE LA LOGICA DEL INCREMENTO DEL PTO DE INGRESOS</t>
  </si>
  <si>
    <t>Seguimiento a fuentes fijas y móviles generadoras de emisiones contaminantes y a Centros de Diagnóstico Automotor -CDA</t>
  </si>
  <si>
    <t>Administraciones municipales con acompañamiento técnico para la adopción de los planes de descontaminación de ruido.</t>
  </si>
  <si>
    <t>ESTA ELEVADO EL INCREMENTO ANUAL</t>
  </si>
  <si>
    <t>Porcentaje de planes de contingencia evaluados</t>
  </si>
  <si>
    <t>Planes de contingencia presentados por parte de las Estaciones de Servicio Revisados, evaluados,aprobados en el departamento de Nariño.</t>
  </si>
  <si>
    <t>UAC-LLAS</t>
  </si>
  <si>
    <t>Caracterización Fuentes Hidricas contaminadas por mercurio y Unidades de Producción Minera - UPM</t>
  </si>
  <si>
    <t>Articulación con la estrategia de Gobierno en Linea según Decreto 2573 de 2014</t>
  </si>
  <si>
    <t>Porcentaje de avance en los niveles de la estrategia de gobierno en linea</t>
  </si>
  <si>
    <t>Nùmero de indicadores reportados de acuerdo con la geodatabase o sistema de informacion:</t>
  </si>
  <si>
    <t>Número PRAE</t>
  </si>
  <si>
    <t>Número PROCEDA</t>
  </si>
  <si>
    <t>Nùmero CIDEAM</t>
  </si>
  <si>
    <t>Fortalecimiento de la capacidad institucional para el cumplimiento de la Misión corporativa</t>
  </si>
  <si>
    <t>Sistema fortalecido y en operación</t>
  </si>
  <si>
    <t>Porcentaje de sedes optimizadas respecto a las existentes</t>
  </si>
  <si>
    <t>Porcentaje de ejecución de las acciones de fortalecimiento en procesos de planificación, ordenación, manejo y fomento a la conservación de los recursos naturales implementadas</t>
  </si>
  <si>
    <t>Muestras tomadas y/o aforadas en matriz agua.</t>
  </si>
  <si>
    <t>Muestras tomadas en matriz aire.</t>
  </si>
  <si>
    <t>Muestras analizadas bajo parámetros fisicoquimicos y microbiológicos realizados.</t>
  </si>
  <si>
    <t>Reportes emitidos en matriz agua y aire.</t>
  </si>
  <si>
    <t>Mantenimiento, operación y mejora del laboratorio de calidad ambiental bajo la norma NTC ISO/IEC 17025</t>
  </si>
  <si>
    <t>Reportes de resultados confiables bajo el marco de la norma NTC ISO/IEC 17025 y el sistema de calidad implementado</t>
  </si>
  <si>
    <t>Municipios asesorados o asistidos en la
incorporación de los determinantes ambientales para la revisión y ajuste de los POTadoptados(IMG Res.   /16)</t>
  </si>
  <si>
    <t>Asesoría y evaluación de los procesos de ordenamiento territorial que adelanten los municipios en lo que a los asuntos ambientales se refiere (61 municipios con POT, PBOT o EOT adoptados)</t>
  </si>
  <si>
    <t>Número de informes de control, monitoreo y seguimiento</t>
  </si>
  <si>
    <t>Número de visitas de seguimiento, acompañamiento, interventoría, asistencia técnica</t>
  </si>
  <si>
    <t>Uniòn Europea</t>
  </si>
  <si>
    <t>VALIDACION</t>
  </si>
  <si>
    <t>Hectáreas con manejo ambiental</t>
  </si>
  <si>
    <t>EXCEDENTES</t>
  </si>
  <si>
    <t>REVISAR $ RAE</t>
  </si>
  <si>
    <t>Piedemonte costero y costa pacífica</t>
  </si>
  <si>
    <t>Elaboración e implementación de una propuesta técnica y metodológica para retroalimentar la ejecución del PGAR, desde la ejecución del PAI de CORPONARIÑO y de los instrumentos de planificación regional y local, e institucionales que correspondan.</t>
  </si>
  <si>
    <t>Estudios técnicos base para la delimitación de páramos (Artículo 173 Ley 1753 de 2015 PND)</t>
  </si>
  <si>
    <t>Oso y Tucán</t>
  </si>
  <si>
    <t>Implementación de acciones para la conservación de especies Valores Objeto de Conservación, acorde con sus planes de manejo</t>
  </si>
  <si>
    <t>Nùmero de procesos de conservación fortalecidos</t>
  </si>
  <si>
    <t>Azufral y Paja Blanca</t>
  </si>
  <si>
    <t>Ovejas y Chimayoy</t>
  </si>
  <si>
    <t>Porcentaje de áreas protegidas regionales declaradas e inscritas en el RUNAP (IMG Res  /16)</t>
  </si>
  <si>
    <t>Número de planes de manejo formulados</t>
  </si>
  <si>
    <t>Mapa de prioridades de conservación para Nariño</t>
  </si>
  <si>
    <t>Estudios técnicos y acciones para la conservación de los recursos naturales en áreas estratégicas  (artículo 174 ley 1753 de 2015)</t>
  </si>
  <si>
    <t xml:space="preserve">Areas protegidas con planes de manejo en ejecución </t>
  </si>
  <si>
    <t>Banco 2 proyecto piloto en implementación</t>
  </si>
  <si>
    <t>Areas de páramos en conservaciòn</t>
  </si>
  <si>
    <t>Hectáreas</t>
  </si>
  <si>
    <t>Implementación de acciones de usos sostenibles priorizados en los planes de manejo de ecosistemas estratégicos (humedales, manglares y páramos)</t>
  </si>
  <si>
    <t xml:space="preserve">Componentes de sostenibilidad implementados </t>
  </si>
  <si>
    <t xml:space="preserve">Implementación de acciones de conservación priorizadas en los planes de manejo de ecosistemas estratégicos (Humedales, páramos y manglares)  </t>
  </si>
  <si>
    <t>Alternativas sostenibles identificadas e implemementados</t>
  </si>
  <si>
    <t>(Paja Blanca, Azufral, Ovejas, Chimayoy, Cerro Negro San Francisco, Andino-Pacífica y Subxerofítico)</t>
  </si>
  <si>
    <r>
      <t>Ecosistemas Estratégicos (Páramos, Humedales, Manglares, zonas secas, etc.), con Planes de manejo u ordenación en ejecución.</t>
    </r>
    <r>
      <rPr>
        <sz val="8"/>
        <color indexed="10"/>
        <rFont val="Arial"/>
        <family val="2"/>
      </rPr>
      <t>INCLUIR PRINCIPALES METAS</t>
    </r>
  </si>
  <si>
    <t>Fortalecimiento de instancias de participación institucionales y comunitarias  (CTB, Mesas Subregionales de Biodiversidad, SIRAP Macizo y SIRAP Pacífico)</t>
  </si>
  <si>
    <t>Fortalecimiento de la Red Departamental de Cambio Climático en articulación con el Nodo Pacífico Sur</t>
  </si>
  <si>
    <t xml:space="preserve">Red Departamental de Cambio Climático en funcionamiento
</t>
  </si>
  <si>
    <t>Gestión de estrategias de adaptación al cambio climático</t>
  </si>
  <si>
    <r>
      <t>Ejecución de acciones en mitigación de GEI y/o adaptación al cambio climático</t>
    </r>
    <r>
      <rPr>
        <b/>
        <sz val="8"/>
        <color indexed="10"/>
        <rFont val="Arial"/>
        <family val="2"/>
      </rPr>
      <t>(IMG Res.  /16)</t>
    </r>
  </si>
  <si>
    <r>
      <t>Porcentaje de entes territoriales asesorados en la incorporación, planificación y ejecución de acciones relacionadas con cambio climático en el marco de los instrumentos de planificación territorial</t>
    </r>
    <r>
      <rPr>
        <b/>
        <sz val="8"/>
        <color indexed="10"/>
        <rFont val="Arial"/>
        <family val="2"/>
      </rPr>
      <t>(IMG Res.  /16)</t>
    </r>
  </si>
  <si>
    <t>Actores sensibilizados</t>
  </si>
  <si>
    <t>Implementación de aciones piloto en el marco de las estrategias nacionales frente al cambio climático</t>
  </si>
  <si>
    <t>Implementar una estrategia de educación, formación y sensibilización a públicos priorizados sobre Cambio Climático</t>
  </si>
  <si>
    <t xml:space="preserve">Documento de identificación de estrategias </t>
  </si>
  <si>
    <t>Proyectos de descontaminación en el marco de los PORH adoptados y/o proyectos priorizados por la Corporación</t>
  </si>
  <si>
    <t xml:space="preserve">
Administración, monitoreo y seguimiento al uso y aprovechamiento del recurso hídrico </t>
  </si>
  <si>
    <t>PGIRS aprobados con seguimiento</t>
  </si>
  <si>
    <t>Pasto (2), Tumaco (1), Ipiales (1)</t>
  </si>
  <si>
    <r>
      <rPr>
        <strike/>
        <sz val="8"/>
        <color indexed="10"/>
        <rFont val="Arial"/>
        <family val="2"/>
      </rPr>
      <t>Porcentaje de permisos de emisiones atmosféricas con seguimiento</t>
    </r>
    <r>
      <rPr>
        <sz val="8"/>
        <rFont val="Arial"/>
        <family val="2"/>
      </rPr>
      <t>Porcentaje de autorizaciones ambientales con seguimiento</t>
    </r>
    <r>
      <rPr>
        <b/>
        <sz val="8"/>
        <color indexed="10"/>
        <rFont val="Arial"/>
        <family val="2"/>
      </rPr>
      <t>(IMG Res. /16)</t>
    </r>
  </si>
  <si>
    <t xml:space="preserve">Concesiones otorgadas y/o renovadas con seguimiento
</t>
  </si>
  <si>
    <r>
      <rPr>
        <strike/>
        <sz val="8"/>
        <color indexed="10"/>
        <rFont val="Arial"/>
        <family val="2"/>
      </rPr>
      <t>Concesiones con seguimiento</t>
    </r>
    <r>
      <rPr>
        <sz val="8"/>
        <rFont val="Arial"/>
        <family val="2"/>
      </rPr>
      <t>Porcentaje de autorizaciones ambientales con seguimiento</t>
    </r>
    <r>
      <rPr>
        <b/>
        <sz val="8"/>
        <color indexed="10"/>
        <rFont val="Arial"/>
        <family val="2"/>
      </rPr>
      <t>(IMG Res.  /16)</t>
    </r>
    <r>
      <rPr>
        <sz val="8"/>
        <rFont val="Arial"/>
        <family val="2"/>
      </rPr>
      <t>Porcentaje de autorizaciones ambientales resueltas dentro de los tiempos establecidos por la ley</t>
    </r>
    <r>
      <rPr>
        <b/>
        <sz val="8"/>
        <color indexed="10"/>
        <rFont val="Arial"/>
        <family val="2"/>
      </rPr>
      <t>(IMG Res.  /16)</t>
    </r>
  </si>
  <si>
    <r>
      <t>Reporte de contaminantes criterio (MP, CO2, CO, HCt) emitidos por fuentes móviles, debidamente</t>
    </r>
    <r>
      <rPr>
        <sz val="8"/>
        <color indexed="10"/>
        <rFont val="Arial"/>
        <family val="2"/>
      </rPr>
      <t>certificadas por los CDA</t>
    </r>
  </si>
  <si>
    <t>Número de muestras</t>
  </si>
  <si>
    <t>Administración, control y seguimiento de recursos naturales</t>
  </si>
  <si>
    <t xml:space="preserve">Visitas de asistencia técnica atención a solicitudes y seguimiento de programas y proyectos realizadas </t>
  </si>
  <si>
    <t>Fortalecimiento del laboratorio para la caraterización fisicoquímica y metalúrgica del sector minero</t>
  </si>
  <si>
    <t>Laboratorio en funcionamiento</t>
  </si>
  <si>
    <t xml:space="preserve">Fuentes hidricas monitoreadas por contaminación de mercurio </t>
  </si>
  <si>
    <t>Ejercer la autoridad ambiental en minería de oro en el departamento de Nariño.</t>
  </si>
  <si>
    <t>Leiva, Cumbitara, Los Andes, La Llanada, Samaniego, Santacruz, Mallama, Colón, La Unión, Buesaco, San Pablo, San Lorenzo</t>
  </si>
  <si>
    <r>
      <t>Implementación del programa regional de negocios verdes por la autoridad ambiental</t>
    </r>
    <r>
      <rPr>
        <b/>
        <sz val="8"/>
        <color indexed="10"/>
        <rFont val="Arial"/>
        <family val="2"/>
      </rPr>
      <t>(IMG Res.  /16)</t>
    </r>
  </si>
  <si>
    <t>Empresas, grupos asociativos y comunidades organizadas, dedicadas a mercados verdes.(IMA Res.  /16)</t>
  </si>
  <si>
    <r>
      <t>Indice de conservación de suelos</t>
    </r>
    <r>
      <rPr>
        <b/>
        <sz val="8"/>
        <color indexed="10"/>
        <rFont val="Arial"/>
        <family val="2"/>
      </rPr>
      <t>(IMG Res. /16)</t>
    </r>
  </si>
  <si>
    <t>Porcentaje ejecución estudio</t>
  </si>
  <si>
    <t>Acciones orientadas a la recuperación o rehabilitación de suelos degradados</t>
  </si>
  <si>
    <r>
      <t>Suelos degradados en recuperación o rehabilitación</t>
    </r>
    <r>
      <rPr>
        <b/>
        <sz val="8"/>
        <color indexed="10"/>
        <rFont val="Arial"/>
        <family val="2"/>
      </rPr>
      <t>(IMG Res.  /16)</t>
    </r>
  </si>
  <si>
    <t>Restauración activa en zonas de recarga hídrica</t>
  </si>
  <si>
    <t>Cuenca río Guáitara</t>
  </si>
  <si>
    <r>
      <t>Porcentaje de áreas de ecosistemas en restauración, rehabilitación y reforestación</t>
    </r>
    <r>
      <rPr>
        <b/>
        <sz val="8"/>
        <color indexed="10"/>
        <rFont val="Arial"/>
        <family val="2"/>
      </rPr>
      <t>(IMG Res.  /16)</t>
    </r>
  </si>
  <si>
    <t>Estrategias de educacion ambiental aplicadas</t>
  </si>
  <si>
    <t>Campañas de educación ambiental ejecutadas</t>
  </si>
  <si>
    <t>Jornadas y/o eventos a partir de conmemoración fechas ambientales</t>
  </si>
  <si>
    <t>Jornadas realizadas con participación de organizaciones étnicas y ambientalistas</t>
  </si>
  <si>
    <t xml:space="preserve">Realizacion de jornadas de participacion y fortalecimiento educativo ambiental de organizaciones étnicas y ambientalistas, como intercambio de experiencias para fortalecer el trabajo educativo ambiental participativo </t>
  </si>
  <si>
    <t xml:space="preserve">Promover el Centro Ambiental Chimayoy como un espacio de formación práctica que genere actitudes de cambio para el manejo adecuado, aprovechamiento de los recursos naturales y el ambiente. </t>
  </si>
  <si>
    <t>Centro Ambiental Chimayoy fortalecido</t>
  </si>
  <si>
    <r>
      <t>Ecosistemas Estratégicos (Páramos, Humedales, Manglares, zonas secas, etc.), con Planes de manejo u ordenación en ejecución.</t>
    </r>
    <r>
      <rPr>
        <b/>
        <sz val="8"/>
        <color indexed="10"/>
        <rFont val="Arial"/>
        <family val="2"/>
      </rPr>
      <t>Porcentaje de áreas de ecosistemas en restauración, rehabilitación y reforestación (IMG Res.  /16)</t>
    </r>
  </si>
  <si>
    <t xml:space="preserve">Cuenca Alta del río Nembí, Río Bobo y Buesaquillo, Laguna de la Cocha Cerro Patascoy y La Planada </t>
  </si>
  <si>
    <t>Informe</t>
  </si>
  <si>
    <t>Taller</t>
  </si>
  <si>
    <t xml:space="preserve">2016: Ovejas, Subxerofìtico, Chimayoy
2017: Azufral o Cerro Negro San Francisco
2018: Andino-Pacífica
</t>
  </si>
  <si>
    <t>Ordenacion forestal del departamento de Nariño</t>
  </si>
  <si>
    <t xml:space="preserve">Formulación de una estrategia de adaptación a los efectos generados por los fenómenos de Niño y Niña en áreas de mayor suceptibilidad </t>
  </si>
  <si>
    <t xml:space="preserve">Fase de caracterizacion </t>
  </si>
  <si>
    <t xml:space="preserve">Fases prospectiva, zonificación y formulación </t>
  </si>
  <si>
    <t>POMIUAC ajustado</t>
  </si>
  <si>
    <t>Ajuste participativo del Plan de Ordenamiento y Manejo Integral de la Unidad Ambiental Costera Llanura Aluvial del Sur UAC-LLAS</t>
  </si>
  <si>
    <t>Porcentaje de acciones ejecutadas</t>
  </si>
  <si>
    <t>Implementación de acciones de manejo en áreas de manglar priorizadas a partir el Plan de Manejo Integral</t>
  </si>
  <si>
    <t xml:space="preserve">Gestión ambiental del riesgo </t>
  </si>
  <si>
    <t xml:space="preserve">Implementación de acciones de descontaminación en corrientes hídricas superficiales priorizadas </t>
  </si>
  <si>
    <t>Implementación de acciones de protección, recuperación o monitoreo del recurso hídrico en cuencas, a partir de los POMCAS o de los instrumentos de planificación de la Corporación (Art. 216 Ley 1450/11 TUA)</t>
  </si>
  <si>
    <t>Control y seguimiento a la gestión de residuos sólidos</t>
  </si>
  <si>
    <t xml:space="preserve">Fomento de tecnologías limpias en la minería del oro </t>
  </si>
  <si>
    <t xml:space="preserve">Formulación del Plan General de Ordenacion Forestal </t>
  </si>
  <si>
    <t>Planificación ambiental e implementación de acciones priorizadas en la Unidad Ambiental Costera Llanura Aluvial del Sur</t>
  </si>
  <si>
    <r>
      <rPr>
        <strike/>
        <sz val="8"/>
        <color indexed="10"/>
        <rFont val="Arial"/>
        <family val="2"/>
      </rPr>
      <t>Cantidad de proyectos con seguimiento (licencias ambientales, concesiones de agua, aprovechamiento forestal, emisiones atmosféricas, permisos de vertimiento) con referencia a la totalidad de proyectos activos con licencias, permisos y/o autorizaciones</t>
    </r>
    <r>
      <rPr>
        <sz val="8"/>
        <color indexed="10"/>
        <rFont val="Arial"/>
        <family val="2"/>
      </rPr>
      <t>Porcentaje de autorizaciones ambientales con seguimiento (IMG Res. /16)</t>
    </r>
  </si>
  <si>
    <t>Plan diseñado y en implementación</t>
  </si>
  <si>
    <t xml:space="preserve"> (Total = 4559 - seguimiento a 2.178 (47,77%)</t>
  </si>
  <si>
    <t>Emisiones atm 25 = 100%</t>
  </si>
  <si>
    <t>Forestal 22 = 100%</t>
  </si>
  <si>
    <t>Concesiones 3.762 = 40% (1504)</t>
  </si>
  <si>
    <t>Vertimientos 408 = 70% (285)</t>
  </si>
  <si>
    <t>PSMV 58 = 100%</t>
  </si>
  <si>
    <t>Planes de contingencia EDS = 63 = 100%</t>
  </si>
  <si>
    <t>Licencias activas con mineria 161</t>
  </si>
  <si>
    <t>Residuos 60  se realiza 2 veces al año</t>
  </si>
  <si>
    <t xml:space="preserve">Departamento (Total = 4342 - seguimiento a 
1962  45%
Emisiones atm 25 = 100%
Forestal 22 = 100%
Concesiones 3.762 = 40% (1505)
Vertimientos 408 = 70% (285)
PSMV 58 = 100%
Licencias en mineria 67  100%
</t>
  </si>
  <si>
    <t>Fortalecimiento interinstitucional para orientar e implementar buenas prácticas con sectores productivos</t>
  </si>
  <si>
    <r>
      <t>Porcentaje de sectores con acompañamiento para la reconversión hacia sistemas sostenibles de producción</t>
    </r>
    <r>
      <rPr>
        <b/>
        <sz val="8"/>
        <color indexed="10"/>
        <rFont val="Arial"/>
        <family val="2"/>
      </rPr>
      <t>(IMG Res.  /16)</t>
    </r>
  </si>
  <si>
    <t>Trasnferencia de modelos de producción más limpia que contribuyan al aprovechamiento sostenible de los recursos naturales</t>
  </si>
  <si>
    <t xml:space="preserve">Proyectos piloto de producción mas limpia de los sectores productivos, acompañados por la Corporación </t>
  </si>
  <si>
    <t>Formulación y desarrollo del programa regional de negocios verdes con los sectores productivos</t>
  </si>
  <si>
    <t>Investigación aplicada tendiente a establecer el índice de conservación de suelos</t>
  </si>
  <si>
    <r>
      <t>Departamento</t>
    </r>
    <r>
      <rPr>
        <sz val="8"/>
        <color indexed="10"/>
        <rFont val="Arial"/>
        <family val="2"/>
      </rPr>
      <t>(Pasto, Nariño, La Florida, Sandoná, Yacuanquer, Consacá, El Tambo, Chachagüí, Buesaco, La Unión, Belén, Ipiales, Potosí, Pupiales, El Contadero, Túquerres, Cumbal, Guachucal, Guaitarilla, Gualmatán)</t>
    </r>
  </si>
  <si>
    <r>
      <t>2016: Paja Blanca (financiado rubro conservación)
2017: Ovejas,  Azufral (financiados recursos NCI) y</t>
    </r>
    <r>
      <rPr>
        <b/>
        <sz val="8"/>
        <rFont val="Arial"/>
        <family val="2"/>
      </rPr>
      <t>RFPN La Planada, Chimayoy, Subxerofítico (de estos 1)</t>
    </r>
    <r>
      <rPr>
        <sz val="8"/>
        <rFont val="Arial"/>
        <family val="2"/>
      </rPr>
      <t>2018:</t>
    </r>
    <r>
      <rPr>
        <b/>
        <sz val="8"/>
        <rFont val="Arial"/>
        <family val="2"/>
      </rPr>
      <t>Cerro Negro San Francisco, RFPN Rìo Bobo - Buesaquillo (de estas 1)</t>
    </r>
    <r>
      <rPr>
        <sz val="8"/>
        <rFont val="Arial"/>
        <family val="2"/>
      </rPr>
      <t>2019: RFPN Río Nembí</t>
    </r>
  </si>
  <si>
    <t>Formulación de planes de manejo de áreas protegidas priorizadas</t>
  </si>
  <si>
    <t xml:space="preserve">Fortalecimiento de los procesos de administración de las reservas forestales protectoras nacionales: Cuenca Alta del río Nembí, Río Bobo y Buesaquillo, Laguna de la Cocha Cerro Patascoy y La Planada </t>
  </si>
  <si>
    <t>Identificación de alternativas de turismo sostenible e inicio de su gestión</t>
  </si>
  <si>
    <t xml:space="preserve">Documento de alternativas </t>
  </si>
  <si>
    <t xml:space="preserve">Apoyo a la actualización catastral municipios priorizados </t>
  </si>
  <si>
    <t>PLANIFICACION AMBIENTAL ARTICULADA E INTEGRAL</t>
  </si>
  <si>
    <t xml:space="preserve">Planeación institucional para la Gestión Ambiental </t>
  </si>
  <si>
    <t>CAMBIO CLIMATICO Y GESTION DEL RIESGO</t>
  </si>
  <si>
    <t>Monitoreo y generación de lineamientos para el manejo de la calidad del aire</t>
  </si>
  <si>
    <t>DESARROLLO INSTITUCIONAL Y FORTALECIMIENTO A LA GESTION POR PROCESOS</t>
  </si>
  <si>
    <t xml:space="preserve">Ordenación de cuencas hidrográficas priorizadas </t>
  </si>
  <si>
    <t xml:space="preserve">Formulación de los Planes de Ordenación y Manejo de Cuencas Hidrográficas priorizadas </t>
  </si>
  <si>
    <t>Implementación de acciones de conservación y restauración en el marco de la ordenación de las cuencas priorizadas</t>
  </si>
  <si>
    <t>GESTION DEL RECURSO HIDRICO</t>
  </si>
  <si>
    <t>GESTION INTEGRAL DE LA BIODIVERSIDAD Y SUS SERVICIOS ECOSISTEMICOS</t>
  </si>
  <si>
    <t>GOBERNANZA EN EL USO Y APROVECHAMIENTO DE LOS RECURSOS NATURALES Y EL AMBIENTE</t>
  </si>
  <si>
    <t>Implementación de acciones priorizadas para el fomento de la producción y consumo sostenible</t>
  </si>
  <si>
    <t>Implementación de acciones de educación ambiental, participación  y fortalecimiento de organizaciones comunitarias, étnicas y ambientalistas</t>
  </si>
  <si>
    <t>Convenios en ejecución</t>
  </si>
  <si>
    <t>Coordinación institucional para el apoyo a la actualización catastral</t>
  </si>
  <si>
    <t>ESTRUCTURA BASICA DE LAS ACCIONES OPERATIVAS DEL PLAN DE ACCION INSTITUCIONAL 2016 - 2019</t>
  </si>
  <si>
    <t>FOMENTO A LA PRODUCCION Y CONSUMO SOSTENIBLE EN LOS SECTORES PRODUCTIVOS</t>
  </si>
  <si>
    <t>PROGRAMAS</t>
  </si>
  <si>
    <t xml:space="preserve">TOTAL </t>
  </si>
  <si>
    <t>PRESUPUESTO DE INVERSION 2016 - 2019</t>
  </si>
  <si>
    <t xml:space="preserve">Ordenamiento del Recurso Hídrico de fuentes hídricas priorizadas </t>
  </si>
  <si>
    <t>PRESUPUESTO DE INVERSION POR PROGRAMA Y PROYECTO 2016 - 2019</t>
  </si>
  <si>
    <t>PRESUPUESTO (Millones de $)</t>
  </si>
  <si>
    <t>PART. %</t>
  </si>
  <si>
    <t>Dias</t>
  </si>
  <si>
    <t>Municipios con seguimiento al cumplimiento de los asuntos ambientales concertados en los POT adoptados.</t>
  </si>
  <si>
    <t>Porcentaje de ejecución de acciones priorizadas.</t>
  </si>
  <si>
    <t>Porcentaje de sedes mejoradas con respecto a las priorizadas.</t>
  </si>
  <si>
    <t>Implementación de acciones de usos sostenibles priorizados en los planes de manejo de ecosistemas estratégicos (manglares y páramos)</t>
  </si>
  <si>
    <t>Para su cálculo, se diligencia la siguiente información:</t>
  </si>
  <si>
    <t>Número de cuencas en la jurisdicción de la CAR: 17</t>
  </si>
  <si>
    <t>Número de cuencas priorizadas en la jurisdicción de la CAR: 6</t>
  </si>
  <si>
    <t>Número de cuencas con POMCAS formulados a 31 de diciembre de 2015: ___</t>
  </si>
  <si>
    <t>Meta de POMCAS formulados para el cuatrienio 2014-2018 (número): 6</t>
  </si>
  <si>
    <t>Meta de PMA formulados para el cuatrienio 2014-2018 (número): ____</t>
  </si>
  <si>
    <t>Meta de PMM formulados para el cuatrienio 2014-2018 (número): ____</t>
  </si>
  <si>
    <t>Reporte de avance de POMCAS</t>
  </si>
  <si>
    <t>N</t>
  </si>
  <si>
    <t>Número / Año</t>
  </si>
  <si>
    <t>Año 1</t>
  </si>
  <si>
    <t>Año 2</t>
  </si>
  <si>
    <t>Año 3</t>
  </si>
  <si>
    <t>Año 4</t>
  </si>
  <si>
    <t>Acumulado</t>
  </si>
  <si>
    <t>Meta de POMCAS formulados</t>
  </si>
  <si>
    <t>A</t>
  </si>
  <si>
    <t>Planes sin iniciar</t>
  </si>
  <si>
    <t>B</t>
  </si>
  <si>
    <t>Planes en etapa de Aprestamiento</t>
  </si>
  <si>
    <t>C</t>
  </si>
  <si>
    <t>Planes en etapa de Diagnóstico</t>
  </si>
  <si>
    <t>D</t>
  </si>
  <si>
    <t>Planes en etapa de Prospectiva y zonificación ambiental</t>
  </si>
  <si>
    <t>E</t>
  </si>
  <si>
    <t>Planes en etapa de Formulación</t>
  </si>
  <si>
    <t>F</t>
  </si>
  <si>
    <t>Planes formulados</t>
  </si>
  <si>
    <t>G</t>
  </si>
  <si>
    <t>Planes aprobados</t>
  </si>
  <si>
    <t>H</t>
  </si>
  <si>
    <t>Total (suma de A:G)</t>
  </si>
  <si>
    <t>Ubique cada plan sólo en la última etapa que se encuentre.</t>
  </si>
  <si>
    <t>La suma de los planes debe ser igual a la meta de planes formulados en el cuatrienio</t>
  </si>
  <si>
    <t>Cada etapa tiene una ponderación, cuya suma es igual a 1.</t>
  </si>
  <si>
    <t>GESTIÓN DEL CONOCIMIENTO PARA LA ADMINISTRACIÓN Y LA CONSERVACIÓN DE LOS RECURSOS NATURALES</t>
  </si>
  <si>
    <t>ORDENAMIENTO DEL TERRITORIO Y GESTIÓN DEL RIESGO,  FUNDAMENTADO EN LA COMPRENSIÓN Y PROTECCIÓN DE LAS  CUENCAS HIDROGRÁFICAS.</t>
  </si>
  <si>
    <t>ORDENAMIENTO DEL TERRITORIO Y GESTIÓN DEL RIESGO,  FUNDAMENTADO EN LA COMPRENSIÓN Y PROTECCIÓN DE LAS  CUENCAS HIDROGRÁFICAS</t>
  </si>
  <si>
    <t>TRANSFERENCIA Y ASISTENCIA TÉCNICA A COMUNIDADES EN TÉCNICAS Y FORMAS APROPIADAS DE USO DE LOS RECURSOS NATURALES RENOVABLES</t>
  </si>
  <si>
    <t>ARTICULACIÓN  INTERINSTITUCIONAL PARA EL FORTALECIMIENTO DEL EJERCICIO DE LA AUTORIDAD Y LA GESTIÓN AMBIENTAL</t>
  </si>
  <si>
    <t>DESARROLLO DE CAPACIDADES INSTITUCIONALES PARA LA MEJORA CONTINUA EN LA GESTIÓN MISIONAL.</t>
  </si>
  <si>
    <t>Construir una base tecnica argumental confiable, que respalde la toma de decisiones de CORPONARIÑO y otros usuarios, respecto de la disponibilidad, estado y manejo adecuado a recursos naturales renovables</t>
  </si>
  <si>
    <t>Estructurar la gestión integral de los recursos naturales, alrededor del eje de las cuencas y la protección del recursos hídrico.</t>
  </si>
  <si>
    <t>Identificar y promover prácticas que mitiguen el impacto ambiental de actividades humanas</t>
  </si>
  <si>
    <t xml:space="preserve">Focalizar la gestión pública institucional hacia el cumplimiento de los objetivos ambientales de la región, en el marco del ejercico de la autoridad y competencias ambientales </t>
  </si>
  <si>
    <t xml:space="preserve">Optimizar las capacidades organizacionales y del talento humano de CORPONARIÑO </t>
  </si>
  <si>
    <t xml:space="preserve">Número
</t>
  </si>
  <si>
    <t>2016: Ríos Pasto, Buesaquito e Ijagüí y Bermùdez; Quebradas Miraflores, La Fragua y Mocondino.
2017: Ríos Chiquito, Boquerón y Guáitara tramo I; Quebradas San Juan y Recreo, La Llave, Honda y Surrones.
2018: Quebrada Belén y Magdalena, Río Sapuyes, Río Molinoyaco, Río Tellez, Río Blanco, Río Tescual, Q. Piscoyaco
2019: Río Quiña, Q. Santa Lucía, Q. Pozo Verde, Q. Bateros, Q. Carrizal, Río Bobo, Q. Pilispí, Q. Cutipaz y Q. Boyacá</t>
  </si>
  <si>
    <t>Corredor de páramos Chiles - Quitasol</t>
  </si>
  <si>
    <t>Enclave Subxerofítico del Patía</t>
  </si>
  <si>
    <t>Galeras y Doña Juana</t>
  </si>
  <si>
    <t>Implementación de acciones piloto en el marco de las estrategias nacionales frente al cambio climático</t>
  </si>
  <si>
    <t>Implementación de estrategias de restauración ecológica en áreas de interés ambiental.</t>
  </si>
  <si>
    <t>Fortalecer el proceso de notificacion de actos administrativos de la entidad</t>
  </si>
  <si>
    <t>OBSERVACION</t>
  </si>
  <si>
    <t xml:space="preserve">Meta 2019: 2 </t>
  </si>
  <si>
    <t xml:space="preserve">Meta 2016: 15
Meta 2017: 15
Meta 2018:  15
Meta 2019: 16 </t>
  </si>
  <si>
    <t>Número de municipios asesorados en la integración de la gestión del riesgo con los Planes, Planes Básicos y Esquemas de Ordenamiento Territorial</t>
  </si>
  <si>
    <t>2016:  550
2017:   600
2018:   650
2019:   700
Total: 2.500</t>
  </si>
  <si>
    <t>Meta 2017: 11 PORH
Meta 2019:   1 PORH 
Total:           12 PORH</t>
  </si>
  <si>
    <t>2016:  45
2017:   40
2018:   55
2019:   60
Total: 200</t>
  </si>
  <si>
    <t>Areas de deforestación evitada</t>
  </si>
  <si>
    <t>Areas de ecosistemas restauradas, rehabilitadas y/o recuperadas en mantenimiento</t>
  </si>
  <si>
    <t xml:space="preserve">Número de fuentes hídricas o tramos de las mismas que reciben vertimientos identificadas para el cobro de de tasa retributiva </t>
  </si>
  <si>
    <t>Concesiones</t>
  </si>
  <si>
    <t>Licencias</t>
  </si>
  <si>
    <t>Cuerpos de agua con diagnóstico elaborado en el marco del proceso de formulación de los PORH</t>
  </si>
  <si>
    <t xml:space="preserve">Días </t>
  </si>
  <si>
    <t>Porcentaje de avance en el proceso de reglamentación de las corrientes hídricas priorizadas</t>
  </si>
  <si>
    <t>Actores priorizados sensibilizados</t>
  </si>
  <si>
    <t>Número de mapas de prioridades de conservación para Nariño elaborados</t>
  </si>
  <si>
    <t xml:space="preserve">Número de componentes de sostenibilidad implementados </t>
  </si>
  <si>
    <t xml:space="preserve">Porcentaje de avance formulación del documento de alternativas de turismo sostenible </t>
  </si>
  <si>
    <t>Administraciones municipales con acompañamiento técnico para la adopción de los planes de descontaminación por ruido.</t>
  </si>
  <si>
    <t>Alternativas sostenibles identificadas e implemementadas</t>
  </si>
  <si>
    <t xml:space="preserve">Fortalecimiento de los procesos de administración de las reservas forestales protectoras nacionales: Cuenca Alta del río Nembí, Río Bobo y Buesaquillo, Laguna de La Cocha Cerro Patascoy y La Planada </t>
  </si>
  <si>
    <t xml:space="preserve">RFPN: Cuenca Alta del río Nembí, Río Bobo y Buesaquillo, Laguna de La Cocha Cerro Patascoy y La Planada </t>
  </si>
  <si>
    <t>Número de componentes de sostenibilidad implementados</t>
  </si>
  <si>
    <t>METAS</t>
  </si>
  <si>
    <t xml:space="preserve">Proyectos piloto de producción más limpia de los sectores productivos, acompañados por la Corporación </t>
  </si>
  <si>
    <t xml:space="preserve">Porcentaje </t>
  </si>
  <si>
    <t>Control, monitoreo y seguimiento en minería de materiales de construcción en el departamento de Nariño</t>
  </si>
  <si>
    <t>Control, monitoreo y seguimiento en minería de oro en el departamento de Nariño.</t>
  </si>
  <si>
    <r>
      <t>Visitas de prevención, control y manejo de la especie Caracol Africano (</t>
    </r>
    <r>
      <rPr>
        <i/>
        <sz val="8"/>
        <rFont val="Arial"/>
        <family val="2"/>
      </rPr>
      <t>Achatina fulica</t>
    </r>
    <r>
      <rPr>
        <sz val="8"/>
        <rFont val="Arial"/>
        <family val="2"/>
      </rPr>
      <t>)</t>
    </r>
  </si>
  <si>
    <t>PROCEDA
2016: 12
2017: 15
2018: 15
2019: 15
Total:  57</t>
  </si>
  <si>
    <t>CIDEAM
2016: 12
2017: 15
2018: 15
2019: 15
Total:  57</t>
  </si>
  <si>
    <t>Jornadas y/o eventos a partir de conmemoración fechas ambientales
2016:  7
2017:  7
2018:  7 
2019:  7
Total: 28</t>
  </si>
  <si>
    <t>Campañas de educacion ambiental
2016:  3 
2017:  3 
2018:  3 
2019:  3 
Total: 12</t>
  </si>
  <si>
    <t>PRAU
2016:  3
2017:  3
2018:  3
2019:  3
Total: 12</t>
  </si>
  <si>
    <t>Elaboración e implementación de una propuesta técnica y metodológica para retroalimentar la ejecución del PGAR, desde la ejecución del PAI de CORPONARIÑO y de los instrumentos de planificación regional y local, y de institucionales que correspondan.</t>
  </si>
  <si>
    <t>Informe de seguimiento ejecución del PGAR</t>
  </si>
  <si>
    <t>Apoyo en la gestón de representación de la entidad en los procesos judiciales</t>
  </si>
  <si>
    <t>Porcentaje de actos administrativos notificados</t>
  </si>
  <si>
    <t>Sistema de indicadores operando de acuerdo con la geodatabase o sistema de información implementado en la entidad</t>
  </si>
  <si>
    <t>Porcentaje anual de avance en los niveles de implementación de la estrategia de gobierno en línea</t>
  </si>
  <si>
    <t>2016: 1
2017: 1
2018: 1
2019: 1
Total: 1</t>
  </si>
  <si>
    <r>
      <t>Porcentaje de especies invasoras con medidas de  prevención, control y manejo en ejecuciòn.</t>
    </r>
    <r>
      <rPr>
        <b/>
        <sz val="8"/>
        <color indexed="8"/>
        <rFont val="Arial"/>
        <family val="2"/>
      </rPr>
      <t>(IMG Res.  667/16)</t>
    </r>
  </si>
  <si>
    <t xml:space="preserve">Número </t>
  </si>
  <si>
    <t>2016: Pasto
2017: Pasto
2018:Ipiales
2019: Tumaco
Total: 3</t>
  </si>
  <si>
    <t xml:space="preserve">Areas de deforestación evitada </t>
  </si>
  <si>
    <t>Formulación de Planes de Ordenamiento del Recurso Hídrico con base en los lineamientos técnicos vigentes</t>
  </si>
  <si>
    <t>Documento del estado de la calidad del recurso hídrico en la zona costera</t>
  </si>
  <si>
    <t>Transferencia de modelos de producción más limpia que contribuyan al aprovechamiento sostenible de los recursos naturales</t>
  </si>
  <si>
    <t>Número de documentos técnicos de caracterización y de zonificación y régimen de usos elaborados</t>
  </si>
  <si>
    <t>2018: 1 complejo</t>
  </si>
  <si>
    <t>2016: 2
2017: 2
2018: 2
2019: 2
Total: 2</t>
  </si>
  <si>
    <t>Usuarios vinculados con la estrategia nacional de Banco 2</t>
  </si>
  <si>
    <t>Ovejas, Chimayoy, Azufral y Paja Blanca</t>
  </si>
  <si>
    <t>Número de reservas forestales protectoras nacionales declaradas en la jurisdicción de la Corporación con  ejecución de acciones de administración</t>
  </si>
  <si>
    <t xml:space="preserve">Cuenca Alta del río Nembí, Río Bobo y Buesaquillo, Laguna de La Cocha Cerro Patascoy y La Planada </t>
  </si>
  <si>
    <t>Paja Blanca y Azufral</t>
  </si>
  <si>
    <t>2017: 3
2018: 3
2019: 3
Total: 3</t>
  </si>
  <si>
    <t xml:space="preserve">Paja Blanca y Azufral </t>
  </si>
  <si>
    <t>Porcentaje de áreas protegidas declaradas con acciones de manejo en ejecución</t>
  </si>
  <si>
    <t>Ecosistemas Estratégicos (Zonas secas) con Planes de manejo u ordenación en ejecución.</t>
  </si>
  <si>
    <t>Fortalecimiento de instancias de participación institucionales y comunitarias  (CTB, SIRAP Macizo y SIRAP Pacífico)</t>
  </si>
  <si>
    <t>Areas de páramos en conservación</t>
  </si>
  <si>
    <t xml:space="preserve">Recuperación del conocimiento ancestral y tradicional para la conservación y producción sostenible </t>
  </si>
  <si>
    <t>Acciones orientadas a la recuperación o rehabilitación de suelos degradados priorizados por la Corporación</t>
  </si>
  <si>
    <t>Laboratorio fortalecido y en funcionamiento</t>
  </si>
  <si>
    <t xml:space="preserve">Entes territoriales priorizados  capacitados en gestión del riesgo
</t>
  </si>
  <si>
    <t>Sistema de Información de Movimientos en Masa (SIMMA) alimentado</t>
  </si>
  <si>
    <t>Generación de conocimiento para la reducción del riesgo</t>
  </si>
  <si>
    <t>Porcentaje de peticiones de caracterización y evaluación de amenazas solicitadas por el Comité Departamental de Gestión del Riesgo de Desastres (CAGRD) y municipios atendidas</t>
  </si>
  <si>
    <t>Documento de caracterización y zonificación de áreas susceptibles a amenazas naturales o antrópicos</t>
  </si>
  <si>
    <t>Asesoría, evaluación y seguimiento de los procesos de planificación y ordenamiento territorial que adelanten los municipios en lo que a los asuntos ambientales se refiere</t>
  </si>
  <si>
    <t>Planes de Desarrollo Municipal y Departamental presentados a la CAR, verificados en la armonización con los demás planes de la región en lo que a planificación y gestión ambiental se refiere.</t>
  </si>
  <si>
    <r>
      <t>Porcentaje de avance en la formulación y/o ajuste de los Planes de ordenación y Manejo de Cuencas (POMCAS)</t>
    </r>
    <r>
      <rPr>
        <b/>
        <sz val="8"/>
        <rFont val="Arial"/>
        <family val="2"/>
      </rPr>
      <t>(IMG Res.667/16).</t>
    </r>
  </si>
  <si>
    <r>
      <t>Porcentaje de municipios asesorados o asistidos en la inclusión del componente ambiental en los procesos de planificación y ordenamiento territorial, con énfasis en la incorporación de las determinantes ambientales para la revisión y ajuste de los POT.</t>
    </r>
    <r>
      <rPr>
        <b/>
        <sz val="8"/>
        <rFont val="Arial"/>
        <family val="2"/>
      </rPr>
      <t>(IMG Res.667/16)</t>
    </r>
  </si>
  <si>
    <r>
      <t>Porcentaje de entes territoriales asesorados en la incorporación, planificación y ejecución de acciones relacionadas con cambio climático en el marco de los instrumentos de planificación territorial.</t>
    </r>
    <r>
      <rPr>
        <b/>
        <sz val="8"/>
        <rFont val="Arial"/>
        <family val="2"/>
      </rPr>
      <t>(IMG Res.667/16)</t>
    </r>
  </si>
  <si>
    <r>
      <t>Porcentaje de páramos delimitados por el MADS, con zonificación y regimen de usos adoptados por la CAR.</t>
    </r>
    <r>
      <rPr>
        <b/>
        <sz val="8"/>
        <rFont val="Arial"/>
        <family val="2"/>
      </rPr>
      <t>(IMG Res.667/16)</t>
    </r>
  </si>
  <si>
    <r>
      <t>Porcentaje de especies amenazadas con medidas de conservación  y manejo en ejecución.</t>
    </r>
    <r>
      <rPr>
        <b/>
        <sz val="8"/>
        <rFont val="Arial"/>
        <family val="2"/>
      </rPr>
      <t>(IMG Res.667/16)</t>
    </r>
  </si>
  <si>
    <t>Porcentaje de la superficie de áreas protegidas regionales declaradas, homologadas o recategorizadas, inscritas en el RUNAP(IMG Res  667/16)</t>
  </si>
  <si>
    <r>
      <t>Porcentaje de Programas de Uso Eficiente y Ahorro del Agua (PUEAA) con seguimiento</t>
    </r>
    <r>
      <rPr>
        <b/>
        <sz val="8"/>
        <rFont val="Arial"/>
        <family val="2"/>
      </rPr>
      <t>(IMG Res.667/16 ).</t>
    </r>
  </si>
  <si>
    <r>
      <t>Porcentaje de autorizaciones ambientales con seguimiento (Concesiones de agua)</t>
    </r>
    <r>
      <rPr>
        <b/>
        <sz val="8"/>
        <rFont val="Arial"/>
        <family val="2"/>
      </rPr>
      <t>(IMG Res.667/16).</t>
    </r>
  </si>
  <si>
    <r>
      <t>Tiempo promedio de trámite para la resolución de autorizaciones ambientales (concesiones) otorgadas por la corporación.</t>
    </r>
    <r>
      <rPr>
        <b/>
        <sz val="8"/>
        <rFont val="Arial"/>
        <family val="2"/>
      </rPr>
      <t>(IMG Res.667/16)</t>
    </r>
  </si>
  <si>
    <t>2019: 2 (Juanambú y Guáitara)</t>
  </si>
  <si>
    <t xml:space="preserve">Porcentaje de POMCAS formulados (Decreto 1729) en ejecución </t>
  </si>
  <si>
    <t>Guaitara, Juanambú, Mayo y Guisa
2016: 4
2017: 4
2018: 4
2019: 4
Total: 4</t>
  </si>
  <si>
    <r>
      <t>Porcentaje de Planes de Ordenación y Manejo de Cuencas (POMCAS) en ejecución</t>
    </r>
    <r>
      <rPr>
        <b/>
        <sz val="8"/>
        <rFont val="Arial"/>
        <family val="2"/>
      </rPr>
      <t>(IMG Res.667/16)</t>
    </r>
  </si>
  <si>
    <r>
      <t>Porcentaje de áreas de ecosistemas en restauración, rehabilitación y recuperación</t>
    </r>
    <r>
      <rPr>
        <b/>
        <sz val="8"/>
        <rFont val="Arial"/>
        <family val="2"/>
      </rPr>
      <t>(IMG Res.667/16)</t>
    </r>
  </si>
  <si>
    <r>
      <t>Avance en la formulación del Plan de Ordenación Forestal</t>
    </r>
    <r>
      <rPr>
        <b/>
        <sz val="8"/>
        <rFont val="Arial"/>
        <family val="2"/>
      </rPr>
      <t>(IMG Res.667/16)</t>
    </r>
  </si>
  <si>
    <t>2018: 406.640 ha
2019: 406.640 ha
Total: 406.640 ha</t>
  </si>
  <si>
    <r>
      <t>Ejecución de acciones en Educación</t>
    </r>
    <r>
      <rPr>
        <b/>
        <sz val="8"/>
        <rFont val="Arial"/>
        <family val="2"/>
      </rPr>
      <t>(IMG Res. 667/16)</t>
    </r>
  </si>
  <si>
    <t>1 Centro Ambiental (Chimayoy) fortalecido</t>
  </si>
  <si>
    <r>
      <t>Tasa promedio anual de deforestación</t>
    </r>
    <r>
      <rPr>
        <b/>
        <sz val="8"/>
        <rFont val="Arial"/>
        <family val="2"/>
      </rPr>
      <t>(IMA Res.667/16)</t>
    </r>
  </si>
  <si>
    <r>
      <t>Porcentaje de autorizaciones ambientales con seguimiento (Permisos de emisiones atmosféricas)</t>
    </r>
    <r>
      <rPr>
        <b/>
        <sz val="8"/>
        <rFont val="Arial"/>
        <family val="2"/>
      </rPr>
      <t>(IMG Res.667/16)</t>
    </r>
  </si>
  <si>
    <r>
      <t>Tiempo promedio de trámite para la resolución de autorizaciones ambientales otorgadas por la corporación (Permiso de Emisiones Atmosféricas)</t>
    </r>
    <r>
      <rPr>
        <b/>
        <sz val="8"/>
        <rFont val="Arial"/>
        <family val="2"/>
      </rPr>
      <t>(IMG Res.667/16)</t>
    </r>
  </si>
  <si>
    <r>
      <t>Porcentaje de avance elaboración del estudio sobre Indice de conservación de suelos</t>
    </r>
    <r>
      <rPr>
        <b/>
        <sz val="8"/>
        <rFont val="Arial"/>
        <family val="2"/>
      </rPr>
      <t>(IMA Res. 667/16)</t>
    </r>
  </si>
  <si>
    <r>
      <t>Porcentaje de suelos degradados en recuperación o rehabilitación</t>
    </r>
    <r>
      <rPr>
        <b/>
        <sz val="8"/>
        <rFont val="Arial"/>
        <family val="2"/>
      </rPr>
      <t>(IMG Res.  667/16)</t>
    </r>
  </si>
  <si>
    <r>
      <t>Porcentaje de PGIRS con seguimiento a metas de aprovechamiento</t>
    </r>
    <r>
      <rPr>
        <b/>
        <sz val="8"/>
        <rFont val="Arial"/>
        <family val="2"/>
      </rPr>
      <t>(IMG Res. 667/16)</t>
    </r>
  </si>
  <si>
    <t>Seguimiento a los 62 en cada vigencia.
2016: 62
2017: 62
2018: 62
2019: 62
Total: 62</t>
  </si>
  <si>
    <t>Planes de contingencia presentados por parte de las Estaciones de Servicio revisados, evaluados, aprobados en el departamento de Nariño.</t>
  </si>
  <si>
    <r>
      <t>Porcentaje de procesos sancionatorios resueltos</t>
    </r>
    <r>
      <rPr>
        <b/>
        <sz val="8"/>
        <rFont val="Arial"/>
        <family val="2"/>
      </rPr>
      <t>(IMG Res. 667/16)</t>
    </r>
  </si>
  <si>
    <t>Número de auditorías independientes ejecutadas</t>
  </si>
  <si>
    <t>Número de auditorías internas ejecutadas</t>
  </si>
  <si>
    <t>Número de talleres de autocontrol, autogestión y autoregulación realizados</t>
  </si>
  <si>
    <t>Medición y seguimiento al cumplimiento del Sistema de Gestión Institucional articulado con MECI</t>
  </si>
  <si>
    <t>Número de seguimientos   a mapas de Riesgo, Servicio No Conforme y Planes de Mejora realizados</t>
  </si>
  <si>
    <t>Reportes emitidos en matriz agua y aire</t>
  </si>
  <si>
    <t>Retenes operativos de control realizados en aplicación de la estrategia nacional de control y vigilancia forestal</t>
  </si>
  <si>
    <t>Tratamiento, rehabilitación y marcaje de especímenes  de  fauna decomisada; recibidos en el centro de paso (Res.2064/10)</t>
  </si>
  <si>
    <t>Centros de Atención y Valoración de Flora -CAV adecuados y/o mejorados en las sedes institucionales</t>
  </si>
  <si>
    <t>Número de muestras tomadas y analizadas en cumplimiento del Plan Nacional Sectorial Ambiental para la Prevención y Vigilancia de la Influencia Aviar</t>
  </si>
  <si>
    <t>Jornada, evento o campaña de educación ambiental en torno a la conservación y manejo de los recursos flora y fauna</t>
  </si>
  <si>
    <r>
      <t>Tiempo promedio de trámite para la resolución de autorizaciones ambientales otorgadas por la corporación (Permiso de Aprovechamiento Forestal)</t>
    </r>
    <r>
      <rPr>
        <b/>
        <sz val="8"/>
        <color indexed="8"/>
        <rFont val="Arial"/>
        <family val="2"/>
      </rPr>
      <t>(IMG Res.667/16</t>
    </r>
    <r>
      <rPr>
        <sz val="8"/>
        <color indexed="8"/>
        <rFont val="Arial"/>
        <family val="2"/>
      </rPr>
      <t>)</t>
    </r>
  </si>
  <si>
    <t>Mantenimiento y mejora del Sistema de Gestión Institucional  articulado con MECI, de acuerdo con la normatividad vigente</t>
  </si>
  <si>
    <t>Sistema de Gestión Institucional operativizado y mejorado</t>
  </si>
  <si>
    <t>Procesos resueltos:
2016: 160
2017: 170
2018: 180
2019: 180Total: 690</t>
  </si>
  <si>
    <t>Muestras analizadas bajo parámetros fisicoquimicos y microbiológicos en matriz agua y bajo parámetros fisicoquímicos en matriz aire</t>
  </si>
  <si>
    <t>Muestras tomadas y/o aforadas en matriz agua y en matriz aire</t>
  </si>
  <si>
    <r>
      <t>Porcentaje de redes y estaciones de monitoreo en operación.</t>
    </r>
    <r>
      <rPr>
        <b/>
        <sz val="8"/>
        <color indexed="8"/>
        <rFont val="Arial"/>
        <family val="2"/>
      </rPr>
      <t>(IMG Res.667/16)</t>
    </r>
  </si>
  <si>
    <r>
      <t>Porcentaje de cuerpos de agua con reglamentación del uso de las aguas</t>
    </r>
    <r>
      <rPr>
        <b/>
        <sz val="8"/>
        <color indexed="8"/>
        <rFont val="Arial"/>
        <family val="2"/>
      </rPr>
      <t>(IMG Res.667/16)</t>
    </r>
  </si>
  <si>
    <r>
      <t>Porcentaje de cuerpos de agua con plan de ordenamiento del recurso hídrico (PORH) adoptados</t>
    </r>
    <r>
      <rPr>
        <b/>
        <sz val="8"/>
        <color indexed="8"/>
        <rFont val="Arial"/>
        <family val="2"/>
      </rPr>
      <t>(IMG Res.667/16)</t>
    </r>
  </si>
  <si>
    <t>PONDERACION METAS %</t>
  </si>
  <si>
    <t>Capacitación a los generadores de residuos sólidos peligrosos y urbanos en el departamento de Nariño</t>
  </si>
  <si>
    <r>
      <t>Indice de calidad de aire en las localidades de especial interés por contaminación atmosférica</t>
    </r>
    <r>
      <rPr>
        <b/>
        <sz val="8"/>
        <color indexed="8"/>
        <rFont val="Arial"/>
        <family val="2"/>
      </rPr>
      <t>(IMA Res. 667/16) (Ciudades con reporte)</t>
    </r>
  </si>
  <si>
    <t>Sector Alimentos Ecológicos
2016: 1
2017: 1
2018: 1
2018: 1
Total: 1</t>
  </si>
  <si>
    <r>
      <t>Número de empresas, grupos asociativos y comunidades organizadas, dedicadas a mercados verdes.</t>
    </r>
    <r>
      <rPr>
        <b/>
        <sz val="8"/>
        <color indexed="8"/>
        <rFont val="Arial"/>
        <family val="2"/>
      </rPr>
      <t>(IMA Res.667/16)</t>
    </r>
  </si>
  <si>
    <t>2016:   25
2017:   25
2018:   25
2019:   25
Total: 100</t>
  </si>
  <si>
    <t>Porcentaje de cofinanciación y seguimiento a la ejecución de proyectos de descontaminación en el marco de los PORH adoptados y/o proyectos priorizados por la Corporación</t>
  </si>
  <si>
    <r>
      <t>Porcentaje de autorizaciones ambientales con seguimiento (Consolidado Licencias Ambientales, Concesiones de Agua, Permisos de Aprovechamiento Forestal, Permisos de Emisiones Atmosféricas, Permisos de Vertimientos)</t>
    </r>
    <r>
      <rPr>
        <b/>
        <sz val="8"/>
        <rFont val="Arial"/>
        <family val="2"/>
      </rPr>
      <t>(IMG Res. 667 /16)</t>
    </r>
  </si>
  <si>
    <r>
      <t>Porcentaje de actualización y reporte de la información en el SIAC.</t>
    </r>
    <r>
      <rPr>
        <b/>
        <sz val="8"/>
        <rFont val="Arial"/>
        <family val="2"/>
      </rPr>
      <t>(IMG Res. 667 /16)</t>
    </r>
  </si>
  <si>
    <t>SIRH, SISAIRE, SNIF, RESPEL, SIR (RUA)</t>
  </si>
  <si>
    <r>
      <t>Tiempo promedio de trámite para la resolución de autorizaciones ambientales otorgadas por la corporación (Consolidado Concesiones, Aprovechamiento Forestal, Licencias, Vertimientos y Emisiones Atmosféricas)</t>
    </r>
    <r>
      <rPr>
        <b/>
        <sz val="8"/>
        <rFont val="Arial"/>
        <family val="2"/>
      </rPr>
      <t>(IMG Res.667/16</t>
    </r>
    <r>
      <rPr>
        <sz val="8"/>
        <rFont val="Arial"/>
        <family val="2"/>
      </rPr>
      <t>)</t>
    </r>
  </si>
  <si>
    <t xml:space="preserve">Concesiones 41 días, Vertimientos 71 días y 
Aprovechamiento forestal, Licencias y Emisiones Atmosféricas 90 días </t>
  </si>
  <si>
    <t xml:space="preserve">Departamento </t>
  </si>
  <si>
    <t>2019: 100 ha</t>
  </si>
  <si>
    <t>2017: 100 ha</t>
  </si>
  <si>
    <t>2016: 1.505 
2017: 1.505 
2018: 1.505
2019: 1.505
Con la meta establecida se garantizará el seguimiento a las 3.762   concesiones vigentes de acuerdo con priorización anual establecida.</t>
  </si>
  <si>
    <t>Seguimiento en el cuatrenio a 83 PUEAA priorizados: 
2016:  42 
2017:  42
2018:  42
2019:  42
Total: 168</t>
  </si>
  <si>
    <t>Implementación de acciones priorizadas de planificación, ordenamiento y manejo de zonas costeras</t>
  </si>
  <si>
    <r>
      <t>Implementación de acciones en manejo integrado de zonas costeras.</t>
    </r>
    <r>
      <rPr>
        <b/>
        <sz val="8"/>
        <rFont val="Arial"/>
        <family val="2"/>
      </rPr>
      <t>(IMG Res.667/16)</t>
    </r>
  </si>
  <si>
    <t>1. PLANIFICACION AMBIENTAL ARTICULADA E INTEGRAL</t>
  </si>
  <si>
    <t xml:space="preserve">1.1  Ordenación de cuencas hidrográficas priorizadas </t>
  </si>
  <si>
    <t xml:space="preserve">1.2 Ordenamiento del recurso hídrico de fuentes hídricas priorizadas </t>
  </si>
  <si>
    <t xml:space="preserve">1.3 Formulación del Plan General de Ordenacion Forestal </t>
  </si>
  <si>
    <t>1.4 Planificación ambiental e implementación de acciones priorizadas en la Unidad Ambiental Costera Llanura Aluvial del Sur</t>
  </si>
  <si>
    <t>4. GESTION INTEGRAL DE LA BIODIVERSIDAD Y SUS SERVICIOS ECOSISTEMICOS</t>
  </si>
  <si>
    <t>4.1 Conocimiento de la biodiversidad y de los servicios ecosistémicos</t>
  </si>
  <si>
    <t>4.2 Usos de la biodiversidad y sus servicios ecosistémicos</t>
  </si>
  <si>
    <t>4.3 Conservación de la biodiversidad y sus servicios ecosistémicos</t>
  </si>
  <si>
    <t>2016: Juanambú, Guáitara, Mira y Mayo. 
2017: Juanambú, Guáitara, Mira, Mayo y Güiza. 
2018: Mayo, Güiza y Patía Alto.
2019: Patía Alto</t>
  </si>
  <si>
    <t xml:space="preserve">Unidad Ambiental Costera </t>
  </si>
  <si>
    <t>Cuencas Juanambú, Guáitara,  Güiza- Alto Mira, Mayo</t>
  </si>
  <si>
    <t>Pasto, Tumaco, Ipiales</t>
  </si>
  <si>
    <t>Dos complejos de paramos</t>
  </si>
  <si>
    <r>
      <rPr>
        <b/>
        <sz val="8"/>
        <rFont val="Arial"/>
        <family val="2"/>
      </rPr>
      <t>2017:</t>
    </r>
    <r>
      <rPr>
        <sz val="8"/>
        <rFont val="Arial"/>
        <family val="2"/>
      </rPr>
      <t>13.000 ha (Ovejas o Chimayoy o Subxerofítico o Azufral o Cerro Negro San Francisco)</t>
    </r>
    <r>
      <rPr>
        <b/>
        <sz val="8"/>
        <rFont val="Arial"/>
        <family val="2"/>
      </rPr>
      <t>2018:</t>
    </r>
    <r>
      <rPr>
        <sz val="8"/>
        <rFont val="Arial"/>
        <family val="2"/>
      </rPr>
      <t>5000 ha (Andino-Pacífica)
Total: 18.000</t>
    </r>
  </si>
  <si>
    <r>
      <rPr>
        <b/>
        <sz val="8"/>
        <rFont val="Arial"/>
        <family val="2"/>
      </rPr>
      <t>2017:</t>
    </r>
    <r>
      <rPr>
        <sz val="8"/>
        <rFont val="Arial"/>
        <family val="2"/>
      </rPr>
      <t>Ovejas,  Azufral (financiados recursos NCI) y  RFPN La Planada o Chimayoy o Subxerofítico.</t>
    </r>
    <r>
      <rPr>
        <b/>
        <sz val="8"/>
        <rFont val="Arial"/>
        <family val="2"/>
      </rPr>
      <t>2018:</t>
    </r>
    <r>
      <rPr>
        <sz val="8"/>
        <rFont val="Arial"/>
        <family val="2"/>
      </rPr>
      <t>Cerro Negro San Francisco o RFPN Río Bobo - Buesaquillo.</t>
    </r>
    <r>
      <rPr>
        <b/>
        <sz val="8"/>
        <rFont val="Arial"/>
        <family val="2"/>
      </rPr>
      <t>2019:</t>
    </r>
    <r>
      <rPr>
        <sz val="8"/>
        <rFont val="Arial"/>
        <family val="2"/>
      </rPr>
      <t>RFPN Río Nembí</t>
    </r>
  </si>
  <si>
    <r>
      <t>Paja Blanca, Azufral y 1 nueva área declarada (</t>
    </r>
    <r>
      <rPr>
        <sz val="8"/>
        <color indexed="8"/>
        <rFont val="Arial"/>
        <family val="2"/>
      </rPr>
      <t>Ovejas, Chimayoy, Cerro Negro San Francisco, Andino-Pacífica o Subxerofítico)</t>
    </r>
  </si>
  <si>
    <t>Total autorizaciones = 4.328 - seguimiento a 1.894 =  44% (Emisiones Atmosféricas 25 = 100%; Aprovechamiento Forestal 22 = 100%; Concesiones 3.762 = 40% (1.505), Vertimientos 452 = 61% (275) y Licencias en minería 67 =  100%)</t>
  </si>
  <si>
    <t>Reporte de contaminantes criterio (CO2, CO, HCt) emitidos por fuentes móviles, debidamente certificadas por los CDA</t>
  </si>
  <si>
    <r>
      <t>Implementación del programa regional de negocios verdes por la autoridad ambiental</t>
    </r>
    <r>
      <rPr>
        <b/>
        <sz val="8"/>
        <rFont val="Arial"/>
        <family val="2"/>
      </rPr>
      <t>(IMG Res. 667 /16)</t>
    </r>
  </si>
  <si>
    <t>3. GESTION DEL RECURSO HIDRICO</t>
  </si>
  <si>
    <t>3.1 Implementación de acciones de conservación y restauración en el marco de la ordenación de las cuencas priorizadas</t>
  </si>
  <si>
    <t xml:space="preserve">3.2 Implementación de acciones de descontaminación en corrientes hídricas superficiales priorizadas </t>
  </si>
  <si>
    <t>3.3 Administracion y Seguimiento del Programa de Tasas Retributivas por Vertimientos Puntuales</t>
  </si>
  <si>
    <t xml:space="preserve">3.4 Administración, monitoreo y seguimiento al uso y aprovechamiento del recurso hídrico </t>
  </si>
  <si>
    <t>3.5 Implementación de acciones de protección, recuperación o monitoreo del recurso hídrico en cuencas, a partir de los POMCAS o de los instrumentos de planificación de la Corporación (Art. 216 Ley 1450/11 TUA)</t>
  </si>
  <si>
    <t>2. CAMBIO CLIMATICO Y GESTION DEL RIESGO</t>
  </si>
  <si>
    <t xml:space="preserve">2.1 Gestión ambiental del riesgo </t>
  </si>
  <si>
    <t xml:space="preserve">2.2 Asesoría, evaluación y seguimiento de asuntos ambientales en los procesos de planeación y ordenamiento de los entes territoriales. </t>
  </si>
  <si>
    <t>2.3 Gestión de estrategias de adaptación al cambio climático</t>
  </si>
  <si>
    <t>2.4 Monitoreo y generación de lineamientos para el manejo de la calidad del aire</t>
  </si>
  <si>
    <t>7. FOMENTO A LA PRODUCCION Y CONSUMO SOSTENIBLE EN LOS SECTORES PRODUCTIVOS</t>
  </si>
  <si>
    <t>7.1 Implementación de acciones priorizadas para el fomento de la producción y consumo sostenible</t>
  </si>
  <si>
    <t xml:space="preserve">7.2 Fomento de tecnologías limpias en la minería del oro </t>
  </si>
  <si>
    <t xml:space="preserve">8. EDUCACION AMBIENTAL, PARTICIPACION Y FORTALECIMIENTO ORGANIZACIONAL </t>
  </si>
  <si>
    <t>8.1 Implementación de acciones de educación ambiental, participación  y fortalecimiento de organizaciones comunitarias, étnicas y ambientalistas</t>
  </si>
  <si>
    <t>5. GOBERNANZA EN EL USO Y APROVECHAMIENTO DE LOS RECURSOS NATURALES Y EL AMBIENTE</t>
  </si>
  <si>
    <t>5.1 Control y seguimiento a la gestión de residuos sólidos</t>
  </si>
  <si>
    <t>5.2 Evaluación y seguimiento de Planes de Contingencia de Estaciones de Servicio</t>
  </si>
  <si>
    <t>5.3 Fortalecimiento de la Autoridad Ambiental Proceso Licencias, Permisos y Autorizaciones Ambientales</t>
  </si>
  <si>
    <t>5.4 Fortalecimiento de la Autoridad Ambiental Proceso Ordenación y Manejo de los Recursos Naturales</t>
  </si>
  <si>
    <t>6. DESARROLLO INSTITUCIONAL Y FORTALECIMIENTO A LA GESTION POR PROCESOS</t>
  </si>
  <si>
    <t xml:space="preserve">6.1 Planeación institucional para la Gestión Ambiental </t>
  </si>
  <si>
    <t>6.2 Fortalecimiento del Sistema de Gestión Institucional articulado con el MECI</t>
  </si>
  <si>
    <t>6.3 Mejoramiento de las rentas y gestión por proyecto</t>
  </si>
  <si>
    <t>6.4 Fortalecimiento del proceso misional Gestión Jurídica</t>
  </si>
  <si>
    <t>6.6 Operación y administración de los Sistemas de Información de la Corporación (Ambiental y administrativo)</t>
  </si>
  <si>
    <t>6.7 Seguimiento y evaluación del SGI y MECI</t>
  </si>
  <si>
    <t>6.8 Mantenimiento, operación y mejora del laboratorio de calidad ambiental bajo la norma NTC ISO/IEC 17025</t>
  </si>
  <si>
    <t>6.9 Fortalecimiento de la capacidad institucional para el cumplimiento de la Misión corporativa</t>
  </si>
  <si>
    <t>ADICION EXCEDENTES 2015</t>
  </si>
  <si>
    <t xml:space="preserve">AVANCE DE LA META
FISICA  </t>
  </si>
  <si>
    <t xml:space="preserve">% DE AVANCE FISICO </t>
  </si>
  <si>
    <t xml:space="preserve">DESCRIPCIÓN DEL AVANCE </t>
  </si>
  <si>
    <t>% AVANCE PROCESO DE GESTION DE LA META</t>
  </si>
  <si>
    <t>META TOTAL PAI</t>
  </si>
  <si>
    <t>ACUMULADO DE LA META
FISICA</t>
  </si>
  <si>
    <t>% DE AVANCE 
FISICO ACUMULADO</t>
  </si>
  <si>
    <t>META FINANCIERA TOTAL</t>
  </si>
  <si>
    <t>AVANCE DE LA META
FINANCIERA (PAGOS)</t>
  </si>
  <si>
    <t>% DEL AVANCE 
FINANCIERO
(PAGOS)</t>
  </si>
  <si>
    <t>AVANCE DE LA META
FINANCIERA (OBLIGACIONES)</t>
  </si>
  <si>
    <t>% DEL AVANCE 
FINANCIERO
(OBLIGACIONES)</t>
  </si>
  <si>
    <t>RECURSOS PROPIOS Apropiación inicial (Pesos)</t>
  </si>
  <si>
    <t>RECURSOS DE LA NACION Apropiación inicial (Pesos)</t>
  </si>
  <si>
    <t>META FINANCIERA TOTAL Apropiación inicial (Pesos)</t>
  </si>
  <si>
    <t>Se realiza una adición de 35.000.000 a través de Acuerdo No. 006 del 14 de marzo del 2016 y Resolución No. 237 del 4 de abril de 2016</t>
  </si>
  <si>
    <t>Se realiza una adición de 29.676.762 a través de Acuerdo No. 006 del 14 de marzo del 2016 y Resolución No. 237 del 4 de abril de 2016</t>
  </si>
  <si>
    <t>Se realiza una adición de 31.906.834 a través de Acuerdo No. 006 del 14 de marzo del 2016 y Resolución No. 237 del 4 de abril de 2016</t>
  </si>
  <si>
    <t>Se realiza una adición de 233.083.746,9 a través de Acuerdo No. 006 del 14 de marzo del 2016 y Resolución No. 237 del 4 de abril de 2016</t>
  </si>
  <si>
    <t>Se realiza un trastado en el presupuesto de gastos de inversión con Recursos propios de la Corporación Autónoma Regional de Nariño CORPONARIÑO para la vigencia fiscal 2016 A través de la Resolución No. 130 del 26 de febrero de 2016 por valor de $36.649.341.</t>
  </si>
  <si>
    <t>Se realiza una adición de 7.028.000 a través de Acuerdo No. 006 del 14 de marzo del 2016 y Resolución No. 237 del 4 de abril de 2016</t>
  </si>
  <si>
    <t xml:space="preserve">Se realiza una adición de 164.706.200 a través de Acuerdo No. 006 del 14 de marzo del 2016 y Resolución No. 237 del 4 de abril de 2016 </t>
  </si>
  <si>
    <t xml:space="preserve">Se realiza una adición de 50.200.000 a través de Acuerdo No. 006 del 14 de marzo del 2016 y Resolución No. 237 del 4 de abril de 2016 </t>
  </si>
  <si>
    <t xml:space="preserve">Se realiza una adición de 58.809.405 a través de Acuerdo No. 006 del 14 de marzo del 2016 y Resolución No. 237 del 4 de abril de 2016 </t>
  </si>
  <si>
    <t>Se realiza una adición de 49.938.738 a través de Acuerdo No. 006 del 14 de marzo del 2016 y Resolución No. 237 del 4 de abril de 2016</t>
  </si>
  <si>
    <t>Se realiza una adición de 70.000.000 a través de Acuerdo No. 006 del 14 de marzo del 2016 y Resolución No. 237 del 4 de abril de 2016</t>
  </si>
  <si>
    <t>Se realiza una adición de 19.030.185 a través de Acuerdo No. 006 del 14 de marzo del 2016 y Resolución No. 237 del 4 de abril de 2016</t>
  </si>
  <si>
    <t xml:space="preserve">Se realiza una adición de 82.983.604 a través de Acuerdo No. 006 del 14 de marzo del 2016 y Resolución No. 237 del 4 de abril de 2016 y mediante Resolución No. 39 del 27 de abril de 2016, se realiza una adición presupuestal por valor de $800.000.000 tras convenio interadministrativo GGC No. 192 del 8 de abril del 2016 con el Ministerio de Minas y Energía </t>
  </si>
  <si>
    <t>Se realiza una adición de 249.546.744 a través de Acuerdo No. 006 del 14 de marzo del 2016 y Resolución No. 237 del 4 de abril de 2016</t>
  </si>
  <si>
    <t>Se realiza una adición de 10.000.000 a través de Acuerdo No. 006 del 14 de marzo del 2016 y Resolución No. 237 del 4 de abril de 2016</t>
  </si>
  <si>
    <t>Se realiza una adición de 350.000.000 a través de Acuerdo No. 006 del 14 de marzo del 2016 y Resolución No. 237 del 4 de abril de 2016</t>
  </si>
  <si>
    <t>Se realiza una adición de 124.592.384 a través de Acuerdo No. 006 del 14 de marzo del 2016 y Resolución No. 237 del 4 de abril de 2016</t>
  </si>
  <si>
    <t>Se realiza una adición de 30.806.059 a través de Acuerdo No. 006 del 14 de marzo del 2016 y Resolución No. 237 del 4 de abril de 2016</t>
  </si>
  <si>
    <t>Se realiza una adición de 106.500.000 a través de Acuerdo No. 006 del 14 de marzo del 2016 y Resolución No. 237 del 4 de abril de 2016</t>
  </si>
  <si>
    <t>Se realiza una adición de 15.000.000 a través de Acuerdo No. 006 del 14 de marzo del 2016 y Resolución No. 237 del 4 de abril de 2016</t>
  </si>
  <si>
    <t>El PAI 2016 -2019 se presentó en audiencia pública el día 29 de abril de 2016 y posteriormente fue  aprobado por el Consejo Directivo  mediante acuerdo No. 010 del 11 de mayo de 2016.</t>
  </si>
  <si>
    <t>Durante el proceso de cobro por concepto de tasa retributiva se identificaron un total de 96 fuentes.</t>
  </si>
  <si>
    <t xml:space="preserve">Estrategias de fortalecimiento a los CIDEAM, PRAES, PRAU y PROCEDAS siguiendo lineamientos establecidos en la Política Nacional de Educación Ambiental y el Plan Decenal Departamental de Educación Ambiental </t>
  </si>
  <si>
    <t>Entrega de alevinos de trucha Arco Iris a pequeños productores piscícolas, realización de 18 orientaciones sobre Manejo en Reproducción de Trucha Arco Iris mediante visitas al Centro Ambiental Guairapungo  con un total 267 personas atendidas</t>
  </si>
  <si>
    <t>META
 2016</t>
  </si>
  <si>
    <r>
      <t>Porcentaje de ejecución de acciones en gestión ambiental urbana</t>
    </r>
    <r>
      <rPr>
        <b/>
        <sz val="8"/>
        <color theme="1"/>
        <rFont val="Arial"/>
        <family val="2"/>
      </rPr>
      <t>(IMG Res. 667 /16)</t>
    </r>
  </si>
  <si>
    <t xml:space="preserve">METAS FISICAS </t>
  </si>
  <si>
    <t>CONCEPTO</t>
  </si>
  <si>
    <t>9. GESTIÓN  Y FORTALECIMIENTO INSTITUCIONAL</t>
  </si>
  <si>
    <t>Tabla para  acuerdo</t>
  </si>
  <si>
    <t>CAPITULO INDEPENDIENTE SISTEMA GENERAL DE REGALIAS</t>
  </si>
  <si>
    <t>Gastos Operativos</t>
  </si>
  <si>
    <t>9.2 Fortalecimiento Secretaría Técnica Organo Colegiado de Administración y Decisión OCAD CORPONARIÑO</t>
  </si>
  <si>
    <t>9.3 Recursos Fortalecimiento del sistema de monitoreo, seguimiento, control y evaluación -SMSCE</t>
  </si>
  <si>
    <t>Gastos de Inversión</t>
  </si>
  <si>
    <t>Total SGR</t>
  </si>
  <si>
    <t>TOTAL AVANCE FINANCIERO</t>
  </si>
  <si>
    <t>%  AVANCE 
FÍSICO ACUMULADO</t>
  </si>
  <si>
    <t>PROGRAMAS / PROYECTOS PAI 2016-2019</t>
  </si>
  <si>
    <t>TOTALES METAS FÍSICAS</t>
  </si>
  <si>
    <t xml:space="preserve">PONDERACIÓN PROGRAMA </t>
  </si>
  <si>
    <t>No.</t>
  </si>
  <si>
    <t>PROYECTO DEL PAI ASOCIADO</t>
  </si>
  <si>
    <t xml:space="preserve">META FISICA  PROGRAMADA </t>
  </si>
  <si>
    <t>PRECISION META</t>
  </si>
  <si>
    <t>Tema: Para medir las acciones de Planificación, Ordenamiento y Coordinación Ambiental</t>
  </si>
  <si>
    <t>Porcentaje de avance en la formulacion y/o ajuste de los Planes de ordenación y Manejo de Cuencas (POMCAS), Planes de Manejo de Acuíferos (PMA) y Planes de Manejo de Microcuencas (PMM).</t>
  </si>
  <si>
    <t xml:space="preserve">1.1 Ordenación de cuencas hidrográficas priorizadas </t>
  </si>
  <si>
    <t>Porcentaje de cuerpos de agua con plan de ordenamiento del recurso hídrico (PORH) adoptados</t>
  </si>
  <si>
    <t>1.2 Ordenamiento del Recurso Hídrico de fuentes hídricas priorizadas</t>
  </si>
  <si>
    <t>2017: 11 PORH
2019:   1 PORH 
Total: 12 PORH</t>
  </si>
  <si>
    <t>Porcentaje de entes territoriales asesorados en la incorporación, planificación y ejecución de acciones relacionadas con cambio climático en el marco de los instrumentos de planificación territorial</t>
  </si>
  <si>
    <t>2016: 15
2017: 15
2018: 15
2019: 16 
Total: 61</t>
  </si>
  <si>
    <t>Porcentaje de la superficie de áreas protegidas regionales declaradas, homologadas o recategorizadas, inscritas en el RUNAP.</t>
  </si>
  <si>
    <t>4.1 Conocimiento de la biodiversidad y sus servicios ecosistémicos</t>
  </si>
  <si>
    <t xml:space="preserve">2017: 13.000
2018:    5.000
Total:  18.000 </t>
  </si>
  <si>
    <t>Porcentaje de avance en la formulación del Plan de Ordenacion forestal.</t>
  </si>
  <si>
    <t>Porcentaje de páramos delimitados por el MADS, con zonificación y regimen de usos adoptados por la CAR.</t>
  </si>
  <si>
    <t>Porcentaje de municipios asesorados o asistidos en la inclusión del componente ambiental en los procesos de planificación y ordenamiento territorial, con énfasis en la incorporación de las determinantes ambientales para la revisión y ajuste de los POT.</t>
  </si>
  <si>
    <t>2016: 15
2017: 15
2018: 15
2019: 16
Total: 61</t>
  </si>
  <si>
    <t>Porcentaje de redes y estaciones de monitoreo en operación.</t>
  </si>
  <si>
    <r>
      <t>2016: 1</t>
    </r>
    <r>
      <rPr>
        <sz val="9"/>
        <color indexed="8"/>
        <rFont val="Arial"/>
        <family val="2"/>
      </rPr>
      <t>2017: 2
2018: 3
2019: 4
Total: 4</t>
    </r>
  </si>
  <si>
    <t>Porcentaje de actualización y reporte de la información en el SIAC.</t>
  </si>
  <si>
    <t>Meta: Para medir las acciones de Administración, Control y Vigilancia del ambiente, sus recursos naturales renovables y ecosistemas estratégicos</t>
  </si>
  <si>
    <t>Porcentaje de Planes de Saneamiento y Manejo de Vertimientos (PSMV) con seguimiento</t>
  </si>
  <si>
    <t>2016: 55 PSMV
2017: 55 PSMV
2018: 55 PSMV
2019: 55 PSMV
Total: 55 PSMV</t>
  </si>
  <si>
    <t xml:space="preserve">Porcentaje de cuerpos de agua con reglamentación del uso de las aguas </t>
  </si>
  <si>
    <t>1.2 Ordenamiento del recurso hídrico de fuentes hídricas priorizadas</t>
  </si>
  <si>
    <t xml:space="preserve"> 2019: 2 </t>
  </si>
  <si>
    <t xml:space="preserve">Porcentaje de Programas de Uso Eficiente y Ahorro del Agua (PUEAA) con seguimiento </t>
  </si>
  <si>
    <t xml:space="preserve">
3.4 Administración, monitoreo y seguimiento al uso y aprovechamiento del recurso hídrico </t>
  </si>
  <si>
    <t>Dos seguimientos en el cuatrenio a 83 PUEAA priorizados: 
2016:  42 
2017:  42
2018:  42
2019:  42
Total: 168</t>
  </si>
  <si>
    <r>
      <t>Porcentaje de Planes de Gestión Integral de Residuos S</t>
    </r>
    <r>
      <rPr>
        <sz val="9"/>
        <rFont val="Arial"/>
        <family val="2"/>
      </rPr>
      <t>ólidos (PGIRS) con seguimiento a metas de aprovechamiento</t>
    </r>
  </si>
  <si>
    <t>Porcentaje de autorizaciones ambientales con seguimiento</t>
  </si>
  <si>
    <t>Tiempo promedio de trámite para la resolución de autorizaciones ambientales otorgadas por la corporación.</t>
  </si>
  <si>
    <t xml:space="preserve">Concesiones 41 días, Vertimientos 71 días y Aprovechamiento Forestal, Licencias y Emisiones Atmosféricas 90 días </t>
  </si>
  <si>
    <t>Porcentaje de procesos sancionatorios resueltos.</t>
  </si>
  <si>
    <t>Procesos resueltos:
2016: 160
2017: 170
2018: 180
2019: 180Total: 690</t>
  </si>
  <si>
    <t>Meta: Para medir las acciones de Protección Ambiental y Planificación del Desarrollo Sostenible</t>
  </si>
  <si>
    <t>Porcentaje de Planes de Ordenación y Manejo de Cuencas (POMCAS), Planes de Manejo de Acuíferos (PMA) y Planes de Manejo de Microcuencas (PMM) en ejecución</t>
  </si>
  <si>
    <t>Porcentaje de suelos degradados  en recuperación o rehabilitación.</t>
  </si>
  <si>
    <t>Porcentaje de áreas protegidas con planes de manejo en ejecución</t>
  </si>
  <si>
    <t>Porcentaje de especies amenazadas con medidas de conservación  y manejo en ejecución.</t>
  </si>
  <si>
    <t>Porcentaje de especies invasoras con medidas de  prevención, control y manejo en ejecución.</t>
  </si>
  <si>
    <t>Porcentaje de áreas de ecosistemas en restauración, rehabilitación y recuperación</t>
  </si>
  <si>
    <t>2016:   595
2017:    640
2018:    705
2019:    760
Total: 2.700</t>
  </si>
  <si>
    <t>2016:   50
2017:   50
2018:   50
2019:   50
Total:200</t>
  </si>
  <si>
    <t>4.2 Usos de la biodiversidad y sus servicios ecosistémicos (proyecto IAvH-UE)</t>
  </si>
  <si>
    <t>2016:  26
2017:  12
2018:  28
2019:  28
Total: 94</t>
  </si>
  <si>
    <t>4.3 Conservación de la biodiversidad y sus servicios ecosistémicos (Convenio PNUD)</t>
  </si>
  <si>
    <t>Implementación de acciones en manejo integrado de zonas costeras.</t>
  </si>
  <si>
    <t>Porcentaje de sectores con acompañamiento para la reconversión en sistemas sostenibles de producción.</t>
  </si>
  <si>
    <t>Ejecución de acciones en gestión ambiental urbana</t>
  </si>
  <si>
    <t>Implementación del programa regional de negocios verdes por la autoridad ambiental.</t>
  </si>
  <si>
    <t>Ejecución de acciones en educación ambiental.</t>
  </si>
  <si>
    <r>
      <rPr>
        <b/>
        <sz val="9"/>
        <rFont val="Arial"/>
        <family val="2"/>
      </rPr>
      <t>PRAE</t>
    </r>
    <r>
      <rPr>
        <sz val="9"/>
        <rFont val="Arial"/>
        <family val="2"/>
      </rPr>
      <t>: 2016: 9, 2017: 12, 2018: 12, 2019: 12, Total:  45</t>
    </r>
    <r>
      <rPr>
        <b/>
        <sz val="9"/>
        <rFont val="Arial"/>
        <family val="2"/>
      </rPr>
      <t>PROCEDA:</t>
    </r>
    <r>
      <rPr>
        <sz val="9"/>
        <rFont val="Arial"/>
        <family val="2"/>
      </rPr>
      <t>2016: 12, 2017: 15, 2018: 15, 2019: 15, Total:  57</t>
    </r>
    <r>
      <rPr>
        <b/>
        <sz val="9"/>
        <rFont val="Arial"/>
        <family val="2"/>
      </rPr>
      <t>CIDEAM:</t>
    </r>
    <r>
      <rPr>
        <sz val="9"/>
        <rFont val="Arial"/>
        <family val="2"/>
      </rPr>
      <t>2016: 12, 2017: 15, 2018: 15, 2019: 15, Total:  57</t>
    </r>
    <r>
      <rPr>
        <b/>
        <sz val="9"/>
        <rFont val="Arial"/>
        <family val="2"/>
      </rPr>
      <t>PRAU:</t>
    </r>
    <r>
      <rPr>
        <sz val="9"/>
        <rFont val="Arial"/>
        <family val="2"/>
      </rPr>
      <t>2016: 3, 2017: 3, 2018: 3,  2019: 3, Total: 12</t>
    </r>
    <r>
      <rPr>
        <b/>
        <sz val="9"/>
        <rFont val="Arial"/>
        <family val="2"/>
      </rPr>
      <t>Campañas de educacion ambiental:</t>
    </r>
    <r>
      <rPr>
        <sz val="9"/>
        <rFont val="Arial"/>
        <family val="2"/>
      </rPr>
      <t>2016: 3, 2017: 3,  2018: 3, 2019: 3, Total: 12</t>
    </r>
    <r>
      <rPr>
        <b/>
        <sz val="9"/>
        <rFont val="Arial"/>
        <family val="2"/>
      </rPr>
      <t>Jornadas y/o eventos a partir de conmemoración fechas ambientales:</t>
    </r>
    <r>
      <rPr>
        <sz val="9"/>
        <rFont val="Arial"/>
        <family val="2"/>
      </rPr>
      <t>2016: 7, 2017: 7, 2018: 7, 2019: 7, Total: 28</t>
    </r>
    <r>
      <rPr>
        <b/>
        <sz val="9"/>
        <rFont val="Arial"/>
        <family val="2"/>
      </rPr>
      <t>Jornadas con participación de organizaciones étnicas y ambientalistas:</t>
    </r>
    <r>
      <rPr>
        <sz val="9"/>
        <rFont val="Arial"/>
        <family val="2"/>
      </rPr>
      <t>2016: 2, 2017: 2,  2018: 2,  2019: 2, Total: 8
1 Centro Ambiental (Chimayoy) fortalecido</t>
    </r>
  </si>
  <si>
    <t>UNIDAD 
DE MEDIDA</t>
  </si>
  <si>
    <r>
      <t>Porcentaje de áreas de ecosistemas en restauración, rehabilitación y recuperación</t>
    </r>
    <r>
      <rPr>
        <b/>
        <sz val="8"/>
        <color theme="1"/>
        <rFont val="Arial"/>
        <family val="2"/>
      </rPr>
      <t>(IMG Res.667/16)</t>
    </r>
  </si>
  <si>
    <t>PROGRAMAS PAI 2016-2019</t>
  </si>
  <si>
    <t>AVANCE TOTAL METAS FISICAS</t>
  </si>
  <si>
    <t>AVANCE TOTAL METAS FISICAS  FINANCIERAS</t>
  </si>
  <si>
    <t>2016/junio</t>
  </si>
  <si>
    <t>20167inicial</t>
  </si>
  <si>
    <t>RECURSOS DE LA NACION Apropiación Definitiva (Pesos)</t>
  </si>
  <si>
    <t>RECURSOS PROPIOS Apropiación Definitiva (Pesos)</t>
  </si>
  <si>
    <t>META FINANCIERA ANUAL ($)</t>
  </si>
  <si>
    <t>AVANCE DE LA META
FINANCIERA (Recursos comprometidos) ($)</t>
  </si>
  <si>
    <t>% DEL AVANCE 
FINANCIERO
(Compromisos)</t>
  </si>
  <si>
    <t>META FINANCIERA DEL PLAN (TOTAL 2016 - 2019)($)</t>
  </si>
  <si>
    <t>AVANCE ACUMULADO DE LA META
FINANCIERA($)</t>
  </si>
  <si>
    <t>PORCENTAJE DE  AVANCE FINANCIERO ACUMULADO %</t>
  </si>
  <si>
    <t>Se realiza una adición de 100.000.000 según Acuerdo 016 del 30 de agosto del 2016</t>
  </si>
  <si>
    <t xml:space="preserve">Se realiza una adición de  50.200.000 según Acuerdo 016 del 30 de agosto del 2016. </t>
  </si>
  <si>
    <t>Se realiza una adición de 108.116.398 a través de Acuerdo No. 006 del 14 de marzo del 2016 y Resolución No. 237 del 4 de abril de 2016. Igualmente se adicionan 18.500.000 según Acuerdo 016 de agosto del 2016</t>
  </si>
  <si>
    <t>Se adicionan 72.000.000 según Acuerdo 016 de agosto del 2016</t>
  </si>
  <si>
    <t>Se realiza una adición de 119.238.168 a través de Acuerdo No. 006 del 14 de marzo del 2016 y Resolución No. 237 del 4 de abril de 2016. Igualmente se adicionan 19.798.880 según Acuerdo 016 de agosto del 2016</t>
  </si>
  <si>
    <t xml:space="preserve">Se realiza una adición de 125.000.000 a través de Acuerdo No. 006 del 14 de marzo del 2016 y Resolución No. 237 del 4 de abril de 2016. Igualmente se adicionan 80.000.000 según acuerdo 16 del 30 de agosto del 2016 </t>
  </si>
  <si>
    <t>Se adicionan 14.299.811 según Acuerdo 016 de agosto del 2016</t>
  </si>
  <si>
    <t>Se realiza una adición de 50.000.000 a través de Acuerdo No. 006 del 14 de marzo del 2016 y Resolución No. 237 del 4 de abril de 2016. Igualmente se adicionan 140.000.000 según Acuerdo 016 de agosto del 2016.</t>
  </si>
  <si>
    <t>Se realiza una adición de 28.500.000 a través de Acuerdo No. 006 del 14 de marzo del 2016 y Resolución No. 237 del 4 de abril de 2016. Igualmente se adicionan 180.000.000 según Acuerdo 016 de agosto del 2016</t>
  </si>
  <si>
    <t>Se adicionan 120.000.000 según Acuerdo 016 de agosto del 2016</t>
  </si>
  <si>
    <t>Se realiza una adición de 158.012.029,27 a través de Acuerdo No. 006 del 14 de marzo del 2016 y Resolución No. 237 del 4 de abril de 2016. Adicionalmente, se hace un traslado, contracreditando $12.040.889 a través de Resolución No. 1514 del 23 de ciciembre del 2016</t>
  </si>
  <si>
    <t>Se realiza un trastado en el presupuesto de gastos de inversión, a través de la Resolución No. 130 del 26 de febrero de 2016 por valor de $36.649.341 y se adicionan $237.948.000 a través de Acuerdo No. 006 del 14 de marzo del 2016 y Resolución No. 237 del 4 de abril de 2016. Igualmente se adicionan 67.500.000 según Acuerdo 016 de agosto del 2016 y $8.172.000 a través de Resolución No. 1466 del 16 de diciembre de 2016</t>
  </si>
  <si>
    <t>Se realiza una adición al presupuesto según acuerdo No. 001 del 1 de febrero de 2016 con recursos propios provenientes de excedentes financieros vigencia 2015 - Contratos 945 $6.582.498.143,8 y 975 $3.664.603.214,88 de 2015 suscritos con la Gobernación de Nariño. Igualmente se adicionan 80.320.000 según Acuerdo 016 de agosto del 2016 y $613.758.795 según resolución 1593 del 03/10/2016 del Ministerio de Ambiente y Desarrollo Sostenible. Finalmente, se reducen $1.643.187.602 según Acuerdo 021 del 28 de noviembre de 2016</t>
  </si>
  <si>
    <t xml:space="preserve">Se realiza una adición de 772.540.399 y 1.891.328 a través de Acuerdo No. 006 del 14 de marzo del 2016 y Resolución No. 237 del 4 de abril de 2016. Igualmente se efectua un traslado acreditando 1.056.484.859 y 335.739.124 según acuerdo 14 del 30 de agosto de 2016. Se realiza una reducción de $3.373.323.547 según acuerdo 021 del 28 de noviembre de 2016 y se efectúa un traslado acreditando $86.896.889 a través de Resolución 1514 del 23 de diciembre de 2016.  </t>
  </si>
  <si>
    <t xml:space="preserve">Se realizan adiciones de 241.084.943 a través de Acuerdo No. 006 del 14 de marzo del 2016 y Resolución No. 237 del 4 de abril de 2016; igualmente a través de acuerdo 016 del 30 de agosto del 2016 se adicionan 30.666.176 y 949.558.699 con Resolucion 1060 del 29 de junio de 2016 del Ministerio de Ambiente y Desarrollo Sostenible. </t>
  </si>
  <si>
    <t>Se realiza una adición de 94.302.394 a través de Acuerdo No. 006 del 14 de marzo del 2016 y Resolución No. 237 del 4 de abril de 2016. Igualmente se adicionan $250.000.000 a través de Acuerdo 0012 del 16 de septiembre de 2016 del Ministerio de Ambiente y Desarrollo Sostenible - Fondo Nacional Ambiental.</t>
  </si>
  <si>
    <t xml:space="preserve">Se realiza una adición de 1.056.484.859,05 y de 335.739.124 a través de Acuerdo No. 006 del 14 de marzo del 2016 y Resolución No. 237 del 4 de abril de 2016. Igualmente, se efectúan traslados contracreditando 335.739.124 y 1.056.484.859 según acuerdo 14 del 30 de agosto de 2016 y $74.856.000 a través de Resolución 1514 del 26 de diciembre de 2016 </t>
  </si>
  <si>
    <t xml:space="preserve">Se realiza una adición de 251.000.000 a través de Acuerdo No. 006 del 14 de marzo del 2016 y Resolución No. 237 del 4 de abril de 2016. Igualmente se adicionan 727.288.699 según Resolución 1012 del 01 de septiembre del 2016 y se reducen $144.908.723  según Resolución 1231 de noviembre de 2016.  </t>
  </si>
  <si>
    <t>% DE AVANCE 
FINANCIERO (Obligaciones)</t>
  </si>
  <si>
    <t>% DE axANCE 
FINANCIERO (pagos)</t>
  </si>
  <si>
    <t xml:space="preserve">Zonificación y codificación de las microcuencas priorizadas para la ordenación de acuerdo al mapa de zonificación hídrografica nacional, además se identifico la ubicación de las quebradas desde el punto más alto y diferentes puntos sobre los cauces principales, se genero mapas de localización.: Rio el Encano y las quebradas Quilinsayaco, Mojondinoy, Santa Teresita, San Isidro, el Carrizo, Motilón, Romerillo, Ramos, Afiladores y Santa Lucía en jurisdicción del corregimiento de El Encano. </t>
  </si>
  <si>
    <t>Actualización de los documentos de PORH: Río Pasto, Quebrada Miraflores, Rio Bermúdez, Quebrada Mocondino, Rio Buesaquito e Ijagüí y Quebrada la Fragua con base a lo establecido en la guía de formulación de ordenamiento del recurso hídrico y la normatividad vigente; por otra parte se replantearon los índices de calidad ICA de las corrientes objeto de actualización con el método propuesto por el IDEAM y por el método BROWN, además se incluyo lo relacionado con la oferta y la demanda en términos de cantidad, calidad y disponibilidad teniendo en cuenta instrumentos tales como el índice de escasez entre otros.</t>
  </si>
  <si>
    <t>Jornadas de aforo y caracterización fisicoquímica de las aguas superficiales y vertimientos de los usuarios de las fuentes, actualización de modelos de calidad del agua, actualización de documentos preliminares realizados en el 2015.</t>
  </si>
  <si>
    <t xml:space="preserve">Atención del 100% del de  visitas de caracterización ambiental y evaluación de amenazas naturales solicitadas por el Comité Departamental de Gestión del Riesgo de Desastres (CAGRD) y los Municipios </t>
  </si>
  <si>
    <t xml:space="preserve">Municipios: Pasto,Tablón de Gómez, Mallama y el ente territorial  Indígena Inga-Aponte </t>
  </si>
  <si>
    <t>Sistema alimentado con información obtenida en las visitas de caracterización, control y monitoreo de amenazas naturales y antrópicas en el departamento de Nariño.</t>
  </si>
  <si>
    <t>Socialización la estrategia de corresponsabilidad social en la lucha contra los incendios forestales en 16 municipios del departamento de Nariño.</t>
  </si>
  <si>
    <t>Municipios: Consaca, Providencia, Pupiales, Puerres, Albán, La Tola, San Bernardo, Aldana, Sapuyes, Sandoná, El Tambo, El Peñol, La Florida y  San Pablo.</t>
  </si>
  <si>
    <t xml:space="preserve">Asistencia técnica a los municipios de: Consaca, Providencia, Pupiales, Puerres, Albán, La Tola, San Bernardo, Aldana, Sapuyes, Sandoná y El Tambo y realización de  7 talleres de capacitación en temas referentes al ordenamiento territorial y la gestión del riesgo, </t>
  </si>
  <si>
    <t>Seguimiento a  10 municipios: Pasto, Ipiales, Buesaco,  La Unión, San Bernardo, Ricaurte, Mallama, Chachagui, Guchucal y Cumbal,</t>
  </si>
  <si>
    <t>100%  de los  Planes de Desarrollo Municipal y Departamental presentados a la CAR verificados en la armonización con los demás planes de la región en lo que a planificación y gestión ambiental</t>
  </si>
  <si>
    <t>Suscripción de   un contrato de cooperación científica, para la identificación de una estrategia de adaptación a los efectos generados por los fenómenos de Niño y Niña en áreas de mayor susceptibilidad.</t>
  </si>
  <si>
    <t>Suscrición de compromisos  por cada institución que conforma la red: revisión de los estatutos del Nodo Pacífico Sur, revisión de la matriz con las líneas estratégicas que maneja el Nodo Pacifico Sur</t>
  </si>
  <si>
    <t>Incorporación del componente de cambio climático en los planes de manejo de las áreas protegidas e identificación  de las áreas prioritarias para la restauración en ecosistemas de paramo incorporando el criterio de variabilidad climática Niño/Niña.</t>
  </si>
  <si>
    <t xml:space="preserve">La estacion de monitoreo PM10, la cual hace parte de la red de vigilancia de calidad del aire, se encuentra operando permanentemente y ha generado reportes desde el mes de abril a diciembre </t>
  </si>
  <si>
    <t>Se obtuvieron 61 muestras representativas con una concentración promedio de PM10 de 16,1 µg/m3, con lo cual se establece que no se han superado los límites máximos permisibles de acuerdo con la normatividad aplicable (Res. 610 de 2010).</t>
  </si>
  <si>
    <t>En la vigencia 2016 un total de 65 visitas de inspección ocular a los 28 proyectos  generadores de  emisiones atmosféricas, de los cuales 28 cuentan permiso de emisiones,  8 con licencia ambiental y 7 con planes de Manejo</t>
  </si>
  <si>
    <t>Durante el periodo reportado se aperturaron cuatro tramites de PEA con un tiempo de tramite de 43, utilizando el en promedio el 47.78% del tiempo estipulado por la norma (90 dias )</t>
  </si>
  <si>
    <t xml:space="preserve">Operativos realizados en ejes viales estratégicos de Pasto, Ipiales y Túqurres, con el fin de evaluar que vehículos se encuentran en cumplimiento con la normativa ambiental  con el apoyo de tránsito y transporte municipal. </t>
  </si>
  <si>
    <t>Análisis del reporte de información de contaminantes criterio (CO2, CO, HCt)  de diez (10) CDA en los municipios de Pasto, Túquerres e Ipiales</t>
  </si>
  <si>
    <t>Socializacion del mapa de ruido y plan de descontaminacion en el municipio de Tumaco</t>
  </si>
  <si>
    <t>Nueve proyectos en las cuatro cuencas priorizadas (Juanambú, Guáitara, Mayo y Guiza Alto Mira) los cuales fueron financiados por  el fondo de compensación ambiental (FCA), Fondo Nacional Ambiental (FONAM) y el sistema general de regalías (SGR).</t>
  </si>
  <si>
    <t>Corresponde establecimiento de 986.014 hectáreas  con coberturas vegetales como estrategia de recuperación de areas degradadas</t>
  </si>
  <si>
    <t>Mantenimiento a 146 hectáreas con coberturas vegetales en las cuencas de los ríos Guáitara y Juanambú, en los municipios de: La Florida, Pasto, Guaitarilla, San Bernardo, Buesaco, Imues y Nariño.</t>
  </si>
  <si>
    <t xml:space="preserve">Ejecución de proyectos cofinanciados por el Fondo de Compensación Ambiental, ECOPETROL, FONAM, a través de la implementación de unidades productivas sostenibles UPS, como un incentivo a la conservación de áreas estratégicas dentro de las cuencas priorizadas </t>
  </si>
  <si>
    <t>Estudio; Tasa de Deforestación 2010 - 2015</t>
  </si>
  <si>
    <t>Corresponde establecimiento de 51 hectáreas   en los municipios de Belen, La Cruz, Colon, Belen y San Pablo; cuenca del Rio Mayo</t>
  </si>
  <si>
    <t>Coservación de 50 hectáreas través de la implementación de unidades productivas sostenibles UPS, como un incentivo a la conservación de áreas estratégicas dentro de la cuenca del río Mayo</t>
  </si>
  <si>
    <t>40 muestreos de fuentes hídricas ubicados dentro del  Departamento de Nariño, entre las cuales son receptoras de vertimientos municipales y de tipo industrial, con el fin de conocer su estado antes y después de las descargas y determinar el grado de afectación de las mismas</t>
  </si>
  <si>
    <t>Realizacion de 437 seguimientos a permisos de vertimientos en el departamento de Nariño</t>
  </si>
  <si>
    <t xml:space="preserve">En el año 2016, se radicaron 186 trámites relacionados con la apertura de permisos de vertimientos, el tiempo promedio de trámite para licencias, permisos y autorizaciones otorgadas en el periodo en mención corresponde a 71 días.  </t>
  </si>
  <si>
    <t>42 seguimientos a las PUEAA : 30 municipios y 12 empresas con diversidad de actividades económicas..</t>
  </si>
  <si>
    <t>1.740 controles y monitoreos a concesiones de agua en departamento de Nariño</t>
  </si>
  <si>
    <t>Aperturado 1.007 concesiones de aguas superficiales y subterráneas en el departamento de Nariño durante la vigencia 2016</t>
  </si>
  <si>
    <t>Establecimiento de 28.5 has de  áreas procesos de restauración en las cuencas hidrográficas de los ríos Guáitara, Juanambú y Mayo.</t>
  </si>
  <si>
    <t>Suscribió el Convenio de Especial de Cooperación para elaborar el estudio técnico  de caracterización del contexto ambiental, social y económico del complejo de páramos (La Cocha Patascoy), a escala 1:25.000, en cumplimiento del artículo 173 de la Ley 1753 de 2015.</t>
  </si>
  <si>
    <t>Implementación de acciones de manejo y conservación de las especies amenazadas priorizadas por CORPONARIÑO: Oso de Anteojos (Tremarctos ornatus) y Tucán Pechigris (Andigena hypogluaca), a través de la investigación  y formulación de estrategias de conservación acordes con el estado actual de las especies,  principalmente enfocadas a disminuir la presión antrópica que existe en sus hábitats.</t>
  </si>
  <si>
    <t>Mapa de prioridades de conservación de los recursos naturales del Departamento que contempla 5 escenarios caracterizados de acuerdo al análisis de la información secundaria utilizada en el estudio: Áreas con prioridad Muy alta, alta, media, baja y muy baja</t>
  </si>
  <si>
    <t>Vinculación de 58 familias estrategia BanCO2 con la cual se promueve la conservación y protección de los ecosistemas estratégicos en los municipios de Pasto, Iles, Pupiales, Sapuyes, El Peñol, Buesaco, Ancuya, La Cruz, Chiles-Cumbal, Funes y Tangua.</t>
  </si>
  <si>
    <t xml:space="preserve">En convenio con  NCI  se ajustaron los documentos técnicos de 3 áreas  protegidas: Volcán Azufral, Páramo de las Ovejas-Tauso y Cerro Chimayoy;  y ajuste del plan de manejo del PNR páramo de Paja Blanca con las comunidades indígenas asentadas en su área de influencia </t>
  </si>
  <si>
    <t>Dos áreas declaradas a nivel regional: PNR Páramo de Paja Blanca con 2.062 has  y RFPR Volcán Azufral con 1.288 has, con administración, recorridos, talleres de restauración ecológica, educación ambiental para generar conciencia y fomentar comportamientos responsables frente al manejo sostenible del Ambiente.</t>
  </si>
  <si>
    <t>Identificación de una alternativa basada en el establecimiento de una huerta comunitaria y el mantenimiento de sendero y elaboración de la señalética en la Reserva La Nutria del Resguardo Indígena Awá de El Gran Sábalo</t>
  </si>
  <si>
    <t>Corponariño realizó la administración de 4 Reservas Forestales Protectoras Nacionales (RFPN Ríos Bobo y Buesaquillo, RFPN La Cocha Patascoy, RFPN La Planada, RFPN Cuenca Alta del Río Nembí), mediante acciones de conservación, control, monitoreo, articulación comunitaria e institucional y talleres de educación ambiental</t>
  </si>
  <si>
    <t>Corponariño cuenta con áreas declaradas y en proceso de declaración con acciones de manejo, enmarcadas en la conservación de la biodiversidad y los recursos naturales. La administración de las áreas a nivel regional se debe realizar de una manera continua de acuerdo a la Ley 99 de 1993, proceso que es garantizado desde la Corporación mediante el cumplimiento de las metas PAI.</t>
  </si>
  <si>
    <t>Ejecución de acciones relacionadas con la identificación de áreas para la implementación de Herramientas de Manejo del Paisaje y el avance en estrategias de conservación que para este caso corresponde a la implementación de las Fases I y II de la ruta para la declaratoria del MADS del área Andino - Pacífica</t>
  </si>
  <si>
    <t>Las instancias hacen referencia a la articulación a nivel Nacional y con los actores locales en los Sistemas Regionales de Áreas protegidas, que para el caso de Nariño son los SIRAP Pacífico y SIRAP Macizo</t>
  </si>
  <si>
    <t>Establecimiento de 11 has (7 ha sen núcleos y 4 en cercas vivas), con procesos de restauración en predios liberados de ZAVA Galeras</t>
  </si>
  <si>
    <t>Establecimiento de 28 componentes de sostenibilidad definidos de acuerdo a las necesidades de las comunidades asentadas en las Zonas con Función Amortiguadora</t>
  </si>
  <si>
    <t>CORPONARIÑO, ha llevado a cabo 403 visitas de control y monitoreo a los generadores de residuos hospitalarios y similares de los municipios; de igual forma a Almacenes de agroquímicos y generadores de RESPEL.</t>
  </si>
  <si>
    <t>Realización 165 visitas de Control y Seguimiento a generadores de Residuos Peligrosos en el departamento de Nariño, con el fin de verificar el cumplimiento a la Normatividad Ambiental vigente</t>
  </si>
  <si>
    <t>Realización 19 Registros de generadores de residuos o desechos peligrosos a través vínculo a la dirección URL que el IDEAM habilitado por la corporación.</t>
  </si>
  <si>
    <t xml:space="preserve"> Seguimiento al cumplimiento de 62 PGIRS en el Departamento de Nariño
</t>
  </si>
  <si>
    <t xml:space="preserve">Capacitaciones en las zonas Centro, Norte, Zona Sur y Zona Costa Pacífica del departamento de Nariño </t>
  </si>
  <si>
    <t>120 visitas de control y monitoreo programadas como seguimiento al  manejo de residuos sólidos urbanos que realizan las Administraciones municipales y Empresas Prestadoras de Servicios Públicos</t>
  </si>
  <si>
    <t>Planes de contingencia radicados: 232, Evaluados 182 en vigencia 2016</t>
  </si>
  <si>
    <t>Realización de 138 informes de  visitas a proyectos mineros legales conforme a la programación anual establecida</t>
  </si>
  <si>
    <t>El cumplimiento de ésta actividad esta supeditada a los estudios y diseños de otras estructuras en la Corporación, ( archivo y oficina de atención al público)</t>
  </si>
  <si>
    <t xml:space="preserve">150 retenes móviles de control y vigilancia forestal, en coordinación con Policía Nacional,   logrando  el decomiso de  leña, carbón y  madera   en un volumen aproximado de 30 metros cúbicos.  </t>
  </si>
  <si>
    <t>200 muestras  tomada y analizadas, cuyos resultados fueron negativos a la enfermedad</t>
  </si>
  <si>
    <t>490 espécimenes de fauna, provenientes de decomisos, entregas  voluntarias, hallazgos o abandonos, distribuidos en los siguientes grupos: reptiles 242, aves 164 y mamíferos 84.</t>
  </si>
  <si>
    <t xml:space="preserve">60 visitas  de control, seguimiento, prevención y manejo de la especie caracol gigante (Achatina fúlica), de acuerdo  a la normatividad vigente, en los municipios de la Costa Pacífica y Pie de Monte Costero </t>
  </si>
  <si>
    <t xml:space="preserve"> Monitoreo continuo de la calidad del aire mediante la estación semiautomática para la medición de material particulado menor a diez micras (PM10) que hace parte del Sistema de Vigilancia de Calidad del Aire del municipio de Pasto, y que operó de manera permanente,</t>
  </si>
  <si>
    <t>De conformidad con lo reportado por las partes involucradas y las evidencias presentas se cuenta con un 70% de ejecución</t>
  </si>
  <si>
    <t xml:space="preserve">2.251 Visitas de asistencia técnica, atención a solicitudes y seguimiento de programas y proyectos, relacionados así: 466 visitas de asistencia técnica, 552 visitas para la atención a solicitudes y 1.233 visitas de seguimiento de programas y proyectos CORPONARIÑO </t>
  </si>
  <si>
    <t>Registro, evaluación y seguimiento de 31 proyectos, y 3 subproyectos  vigencia 2016 y seguimiento a 11 proyectos vigencia 2015 - 2016</t>
  </si>
  <si>
    <t xml:space="preserve">Consolidación del documento preliminar del Plan el capítulo correspondiente a Seguimiento y Evaluación del PGAR
</t>
  </si>
  <si>
    <t>SGI operativizado y mejorado, basado en acciones que permiten que la Corporación mantenga la certificación y mejore continuamente sus procesos, con respecto al porcentaje de proactividad teniendo en cuenta el cumplimiento en asesoría y acompañamiento a los procesos institucionales</t>
  </si>
  <si>
    <t xml:space="preserve">12 agendas mensuales, 48 semanales, cubrimiento de 120 eventos internos, 90 eventos institucionales externos, 56 boletines de prensa, 8 comunicados a la opinión pública, 100 publicaciones en página Web, 12 boletines institucionales internos, 70 entrevistas en medios radiales y 77 entrevistas y notas periodísticas en medios televisivos a Directivos y funcionarios, 45 notas en prensa escrita. </t>
  </si>
  <si>
    <t>La Unidad de Cobro Coactivo llevo a cabo en su totalidad las diligencias de elaboración de Autos, Resoluciones, Diligencias de Notificación y Requerimientos para darle el impulso procesal necesario a los expedientes radicados en la Unidad</t>
  </si>
  <si>
    <t>El valor estimado de recaudo para la vigencia 2016 es de $910.000.000 y de acuerdo a la meta establecida por el indicador se debe recaudar el 85% de la meta, es decir $773.500.000; a corte 31 de diciembre de 2016 la unidad de Cobro Coactivo de la Oficina Jurídica ha recaudado DOS MIL CUATROCIENTOS SETENTA Y CUATRO MILLONES TRESCIENTOS VEINTIÚN MIL CIENTO VEINTIDÓS CON CINCO CENTAVOS ($ 2.474.321.122,5) por concepto de tasa por uso de agua, tasa retributiva y multas ambientales.</t>
  </si>
  <si>
    <t>La unidad de cobro coactivo ha expedido 202 Autos de Tramite y 394 Resoluciones, dentro de los cuales 126 son Autos de Archivo, dando por terminado el proceso de cobro coactivo.</t>
  </si>
  <si>
    <t xml:space="preserve">Se adelantaron 49 procesos vigentes los cuales se distribuyen así: en los Juzgados Administrativos del Circuito de Nariño; en el Tribunal Administrativo de Nariño Escritural; en el Tribunal Administrativo de Nariño Sistema Oral; Juzgados Laborales; Juzgados Civiles; Juzgados Especializados de Restitución de Tierras y Tutelas. </t>
  </si>
  <si>
    <t xml:space="preserve">El sistema se encuentra actualizado y operando  con el reporte de 37 indicadores </t>
  </si>
  <si>
    <t>En la vigencia 2016 se trabajó sobre 4 componentes de la estrategia de gobierno en línea según decreto 2573 del 2014 : Tic para el servicio, Tic para gobierno abierto, Tic para la gestión y seguridad se la información.</t>
  </si>
  <si>
    <t>Se efectuaron seguimientos a los Mapas de Riesgo (4), al Servicio No Conforme (4) y a los Planes de Mejora (4)</t>
  </si>
  <si>
    <t>Se desarrolló en tres ciclos de auditoria durante la vigencia 2016, auditando los 11 procesos institucionales y a los centros ambientales Sur, Sur occidente y Costa Pacífica, con el objeto de verificar la conformidad del Sistema de Gestión Institucional con los requisitos de la Norma ISO 9001:2008, NTCGP1000:2009 articulado con MECI  evaluando el grado de implementación en sus procesos y verificar la conformidad del cumplimiento de los requisitos de la norma NTC ISO/IEC 17025:2005 para el proceso Gestión Analítica.</t>
  </si>
  <si>
    <t>Talleres en la ciudad de Ipiales con la asistencia de 17 personas, en Tumaco con la participación de 16 personas y en Pasto se desarrollaron dos talleres con la participación de 64 personas</t>
  </si>
  <si>
    <t xml:space="preserve">74 muestras tomadas en matriz de aire,  determinación de Material Participado menor a 10 µm PM10 y evaluación de la cantidad de material participado </t>
  </si>
  <si>
    <t xml:space="preserve">Análisis de 269 muestras de agua correspondientes a fuentes hídricas y vertimientos  y análisis de 71 muestras de aire </t>
  </si>
  <si>
    <t>Emitieron 269 reportes de resultados correspondientes a la matriz agua y 71 reportes de resultados en matriz aire</t>
  </si>
  <si>
    <t>Jornadas de capacitación para promover y fortalecer prácticas de producción más limpia, Visitas a finca para la elaboración del plan de mejoramiento ambiental, Implementación de Unidades de Manejo Ambiental e Implementación de viveros</t>
  </si>
  <si>
    <t>Caracterización a ochenta (80) estaciones de agua sobre  veintiocho (28)  fuentes hídricas influenciadas por vertimientos mineros en los municipios de la zona Andina del departamento de Nariño,.</t>
  </si>
  <si>
    <t>81 visitas de caracterización fisicoquímica a fuentes hídricas y 76 visitas de control y monitoreo y seguimiento ambiental a Unidades Mineras en el departamento de Nariño</t>
  </si>
  <si>
    <t>Operación del Laboratorio del Centro Ambiental Minero que cuenta con infraestructura y equipos en Laboratorio para análisis de Mercurio y equipos de monitoreo en campo que identifican alteraciones fisicoquímicas de los efluentes influenciados por vertimientos mineros</t>
  </si>
  <si>
    <t>Asistencia técnica en beneficio de minerales a unidades mineras de 12 municipios del departamento de Nariño</t>
  </si>
  <si>
    <t>Trabajo continuo con 12 Instituciones Educativas a través de jornadas de campo, talleres, eventos, entre otras  a partir de compromisos establecidos desde convenios interadministrativos en marco de los PREES. Avance del 100%</t>
  </si>
  <si>
    <t>Identificado de 12 sitios estratégicos en los cuales en los cuales se aplicarron acciones en pro del recurso hídrico como tema central del PROCEDA 2016. Avance del 100%</t>
  </si>
  <si>
    <t>Jornadas de acompañamiento a 20 municipios, de los cuales se han identificado 12 con los cuales se suscribieron  convenios para el fortalecimiento de los CIDEA, dentro d ela campaña "actuando por el cambio". Avance del 100%.</t>
  </si>
  <si>
    <t xml:space="preserve">Jornadas de trabajo en apoyo a actividades contempladas en el PRAU de las universidades de Nariño, Mariana, Autonoma de Occidente, CESMAG, en temas referentes a PRAU, Recurso Hidrico, PUEAA, Fauna, Concesiones de agua. Avance  del 100%.venios. </t>
  </si>
  <si>
    <t>Realización de 3 campañas:  Nariño puro ambiente, Actuando por el cambio y en paz con la Naturaleza. Avance  del 100%.</t>
  </si>
  <si>
    <t>Ejecución de acciones de formación a partir de proyectos demostrativos y   formación  ambiental con  instituciones educativas, universidades, entre otras . Avance del 100%.</t>
  </si>
  <si>
    <t xml:space="preserve">Porcentaje de concesiones atendidas  
</t>
  </si>
  <si>
    <t>6.5 Apoyo a la actualización y/o conservación catastral municipios priorizados</t>
  </si>
  <si>
    <t>Jornadas con participación de organizaciones étnicas y ambientalistas
2016: 8
2017: 2
2018: 2
2019: 2
Total: 14</t>
  </si>
  <si>
    <t>Corresponde al avance  en la actualización y/o formulación de los POMCAS de los rios Mayo, Guiza Alto Mira y Mira.</t>
  </si>
  <si>
    <t>Suscripción de dos adicionales de convenios interadministrativos para construcción de PTAR en los municipios de Pupiales y Nariño y evaluación y seguimiento a diecinueve (19) convenios interadministrativos en cuanto a Estudios y Diseños y Construcción de Plantas de Tratamiento de Aguas Residuales Domésticas</t>
  </si>
  <si>
    <t xml:space="preserve">Cinco (5) auditorias independientes a los centros ambientales Costa Pacífica, Suroccidente, Sur, Minero Sotomayor y Norte y Seis (6) auditorias independientes </t>
  </si>
  <si>
    <t xml:space="preserve">    POND PROGRAMA/ PROYECTO PAI</t>
  </si>
  <si>
    <t>CORPONARIÑO ejecuta medidas de prevención, control y manejo  de caracol Africano (Achatina fulica),  considerada invasora y  dañina, reconocida como plaga que afecta la biodiversidad, la salud pública y la productividad agrícola</t>
  </si>
  <si>
    <r>
      <t>Porcentaje de sectores con acompañamiento chacia sistemas sostenibles de producción</t>
    </r>
    <r>
      <rPr>
        <b/>
        <sz val="8"/>
        <color indexed="8"/>
        <rFont val="Arial"/>
        <family val="2"/>
      </rPr>
      <t>(IMG Res. 667 /16)</t>
    </r>
  </si>
  <si>
    <t>Asociación agroambiental de arboleda, Jnta de accion comunal sección pueblo, Asoguayabal, Asociación agropecuaria campesina de fiqueros: el progreso, prothonar, los laureles, asoaltopeñol, huellas en el campo, asoviguasar, asograna, tunjanas, la vega, asocaldera, mujeres emprendedoras y girasol</t>
  </si>
  <si>
    <r>
      <t>PRAE
2016:</t>
    </r>
    <r>
      <rPr>
        <sz val="8"/>
        <rFont val="Arial"/>
        <family val="2"/>
      </rPr>
      <t>12
2018: 12
2019: 12
Total:  45</t>
    </r>
  </si>
  <si>
    <t>Realización de 14 jornadas y/o eventos   a partir de conmemoración fechas ambientales. Avance  100%.</t>
  </si>
  <si>
    <t>Promedio aritmètico</t>
  </si>
  <si>
    <t xml:space="preserve">Estudio de seguimiento y evaluación de los posibles escenarios de riesgo frente a la problemática de remoción en masa en el resguardo indígena inga-aponte
Convenio interadministrativo (IGAC, SGC, Gobernación, mpio Pasto)  para estudio áreas de LAHARES y caídas piroplasticas  ZAVA GALERAS
</t>
  </si>
  <si>
    <t xml:space="preserve"> El tiempo promedio para el tramite de concesiones en el año 2016 fue de 29,37  días
</t>
  </si>
  <si>
    <t xml:space="preserve">Dos áreas (hectáreas ) restauradas </t>
  </si>
  <si>
    <t>Tumaco: 24 
Barbacoas:  41
Cumbitara: 6
Roberto Payan: 8
Maguí Payan: 9
Santabárbara: 6</t>
  </si>
  <si>
    <t>El tiempo promedio de trámite de permisos de aprovechamiento forestal tramitados en  la vigencia 2016 corresponde a 91,6 días</t>
  </si>
  <si>
    <t>Emisiones Atmosféricas : 28
Aprov. Forestal : 37
Concesiones: 1.740
Vertimiento: 437
Licencias en minería : 67</t>
  </si>
  <si>
    <t>Expedientes Aperturados: 289
Medidar Preventivas:91
Autos: 937
Resoluciones: 671
Indagacion Preliminar: 11
Abre Inv. e Inicia: 243
Sancion:317
Cesacion de Procedimiento: 19
Archivo:63</t>
  </si>
  <si>
    <t>Se radicaron 2.363 asuntos para notificar de los cuales se notificaron 2.514 y de conformidad con lo que establece la Ley 1437 del 2011.</t>
  </si>
  <si>
    <t>Corponariño realizo acercamientos con el IGAC con el objeto de dar cumplimiento a  la meta propuesta, siendo necesario requerir el ajuste inicial de actualización catastral conservación, considerando la disponibilidad de recursos financieros.</t>
  </si>
  <si>
    <t>La Cruz (ASOGRANA), El Peñol (Asociación Alto peñol), Consacá (Asociación El Progreso), Buesaco (ASOGUAYABAL), Contadero (PROTHONAR), El Tambo, Arboleda, Potosí, Córdoba y Gualmatán, 10 asociaciones agropecuarias</t>
  </si>
  <si>
    <t>Se realzaron 8 jornadas de acercamiento y mesas de trabajo con las comunidades étnicas. Avance del 100%.</t>
  </si>
  <si>
    <r>
      <t>Porcentaje de áreas de ecosistemas en restauración, rehabilitación y recuperación</t>
    </r>
    <r>
      <rPr>
        <b/>
        <sz val="8"/>
        <color theme="1"/>
        <rFont val="Arial"/>
        <family val="2"/>
      </rPr>
      <t>(IMG Res. 667/16)</t>
    </r>
  </si>
  <si>
    <t>2016: 26
2017: 12
2018: 28
2019: 28
Total: 94</t>
  </si>
  <si>
    <r>
      <t>Porcentaje de áreas protegidas con planes de manejo en ejecución</t>
    </r>
    <r>
      <rPr>
        <b/>
        <sz val="8"/>
        <color theme="1"/>
        <rFont val="Arial"/>
        <family val="2"/>
      </rPr>
      <t>(IMG Res  667/16)</t>
    </r>
  </si>
  <si>
    <t>AVANCE  FISICO ACUMULADO (%)</t>
  </si>
  <si>
    <t>Lconcesiones: 29,37
Vertimientos:71
Aprov. forestal: 91,6
Emisiones Atmosféricas: 43
Licencias : 46,33</t>
  </si>
  <si>
    <r>
      <t xml:space="preserve">2016: 1
</t>
    </r>
    <r>
      <rPr>
        <sz val="8"/>
        <color indexed="8"/>
        <rFont val="Arial"/>
        <family val="2"/>
      </rPr>
      <t>2017: 2
2018: 3
2019: 4
Total: 4
Pasto (2), Tumaco (1), Ipiales (1)</t>
    </r>
  </si>
  <si>
    <t>Capacitación y asistencia técnica en los procesos de revisión y ajuste de ordenamiento territorial a 15 municipios del Departamento</t>
  </si>
  <si>
    <t>Realización de 62 visitas técnicas divididas en 53 expedientes aprobados en la Zona Centro y  Norte y 9 expedientes en zona costera del departamento, en donde se evaluó los avances realizados correspondiente al cumplimiento de los proyectos y actividades planteadas en los PSMV’s</t>
  </si>
  <si>
    <t>POND
2016</t>
  </si>
  <si>
    <t>POND
2017</t>
  </si>
  <si>
    <t xml:space="preserve">Ejecución  de acciones  en el marco 
de los PORH </t>
  </si>
  <si>
    <t>Número de puntos monitoreados en corrientes hídricas receptoras de vertimientos</t>
  </si>
  <si>
    <t>Numero</t>
  </si>
  <si>
    <t>Seguimiento a usuarios generadores de vertimientos</t>
  </si>
  <si>
    <r>
      <t xml:space="preserve">Porcentaje de Planes de Saneamiento y Manejo de Vertimientos PSMV con seguimiento </t>
    </r>
    <r>
      <rPr>
        <b/>
        <sz val="8"/>
        <color indexed="8"/>
        <rFont val="Arial"/>
        <family val="2"/>
      </rPr>
      <t>(IMG Res.667/16)</t>
    </r>
  </si>
  <si>
    <r>
      <t xml:space="preserve">Porcentaje de autorizaciones ambientales con seguimiento (Permisos de vertimientos) </t>
    </r>
    <r>
      <rPr>
        <b/>
        <sz val="8"/>
        <color indexed="8"/>
        <rFont val="Arial"/>
        <family val="2"/>
      </rPr>
      <t>(IMG Res.667/16)</t>
    </r>
  </si>
  <si>
    <r>
      <t xml:space="preserve">Tiempo promedio de trámite para la resolución de autorizaciones ambientales otorgadas por la corporación (Permisos de Vertimientos) </t>
    </r>
    <r>
      <rPr>
        <b/>
        <sz val="8"/>
        <color indexed="8"/>
        <rFont val="Arial"/>
        <family val="2"/>
      </rPr>
      <t>(IMG Res.667/16)</t>
    </r>
  </si>
  <si>
    <t>Usuarios generadores de vertimientos incluidos en el Acuerdo de metas de carga contaminante con seguimiento</t>
  </si>
  <si>
    <t>sin meta</t>
  </si>
  <si>
    <t>Marzo - Teniendo en cuenta que el proyecto "Ordenamiento del Recurso Hídrico" se radicò ante Planeación el dìa 25 del mes de Enero de 2017, y se requirieron ajustes por parte de dicha dependencia, los cuales fueron entregados oportunamente para posteriormente ser aprobados a finales de marzo del año en curso, la contratación dio inicio en este mismo periodo. Por lo tanto, se da inicio a las actividades pertinentes para dar cumplimiento a los indicadores apenas en el mes de abril, razón por la cual no existe avance para este primer trimestre.</t>
  </si>
  <si>
    <t>Sin meta</t>
  </si>
  <si>
    <t>RECURSOS PROPIOS Apropiación Definitiva ($)</t>
  </si>
  <si>
    <t>RECURSOS DE LA NACION Apropiación Definitiva ($)</t>
  </si>
  <si>
    <t>OTRAS FUENTES 
($)</t>
  </si>
  <si>
    <t>OBSERVACIONES 2016</t>
  </si>
  <si>
    <t>OBSERVACIONES 2017</t>
  </si>
  <si>
    <t xml:space="preserve">Mediante Acuerdo del Consejo Directivo No. 007 de junio 30 de 2017 se reprogramó para el 2018 la meta, en razón a que actualmente  se adelanta una fase de complementación y de revisión y concertación de metas </t>
  </si>
  <si>
    <t>2017 (enero - junio)</t>
  </si>
  <si>
    <t>Adición según Acuerdo 003 del 19 de abril de 2017 y Resolución No. 533 del 11 de mayo de 2017 por valor de $23.020.973,33</t>
  </si>
  <si>
    <t>Adición según Acuerdo 003 del 19 de abril de 2017 y Resolución No. 533 del 11 de mayo de 2017 por valor de $206.643.713,58</t>
  </si>
  <si>
    <t>contracrédito según Acuerdo 004 del 13 de junio del 2017por valor de $16.547.000</t>
  </si>
  <si>
    <t>Adición según Acuerdo 003 del 19 de abril de 2017 y Resolución No. 533 del 11 de mayo de 2017 por valor de 1923640386,27</t>
  </si>
  <si>
    <t>credito según Acuerdo 004 del 13 de junio del 2017 por valor de $20.000.000</t>
  </si>
  <si>
    <t>contracrédito según Acuerdo 004 del 13 de junio del 2017 por valor de $20.000.000</t>
  </si>
  <si>
    <t>contracrédito según Acuerdo 004 del 13 de junio del 2017 por valor de $200.800.000</t>
  </si>
  <si>
    <t>contracrédito según Acuerdo 004 del 13 de junio del 2017 por valor de $10.040.000</t>
  </si>
  <si>
    <t>Adición según Acuerdo 003 del 19 de abril de 2017 y Resolución No. 533 del 11 de mayo de 2017 por valor de $7.692.000</t>
  </si>
  <si>
    <t>Adición según Acuerdo 003 del 19 de abril de 2017 y Resolución No. 533 del 11 de mayo de 2017 por valor de $30.000.000</t>
  </si>
  <si>
    <t>Adición según Resolución No. 709 del 15 de junio de 2017 por valor de $700.000.000 y Adición según Acuerdo 003 del 19 de abril de 2017 y Resolución No. 533 del 11 de mayo de 2017 por valor de $96.921.659</t>
  </si>
  <si>
    <t>Adición según Acuerdo 003 del 19 de abril de 2017 y Resolución No. 533 del 11 de mayo de 2017 por valor de $65.439.386</t>
  </si>
  <si>
    <t>Adición según Acuerdo 003 del 19 de abril de 2017 y Resolución No. 533 del 11 de mayo de 2017 por valor de $156.506.576 y credito según Acuerdo 004 del 13 de junio del 2017 por valor de $36.254.846</t>
  </si>
  <si>
    <t>credito según Acuerdo 004 del 13 de junio del 2017 por valor de $9.589.973</t>
  </si>
  <si>
    <t>Adición según Acuerdo 003 del 19 de abril de 2017 y Resolución No. 533 del 11 de mayo de 2017 por valor de $13.282.658</t>
  </si>
  <si>
    <t>Adición según Acuerdo 003 del 19 de abril de 2017 y Resolución No. 533 del 11 de mayo de 2017 por valor de $31.181.214 y credito según Acuerdo 004 del 13 de junio del 2017 por valor de $30.930.532</t>
  </si>
  <si>
    <t>Adición según Acuerdo 003 del 19 de abril de 2017 y Resolución No. 533 del 11 de mayo de 2017 por valor de 22935976</t>
  </si>
  <si>
    <t>Adición según Acuerdo 003 del 19 de abril de 2017 y Resolución No. 533 del 11 de mayo de 2017 por valor de $21.307.806</t>
  </si>
  <si>
    <t>Contracrédito según Acuerdo 004 del 13 de junio del 2017 por valor de $14.110.710</t>
  </si>
  <si>
    <t>Adición según Acuerdo 003 del 19 de abril de 2017 y Resolución No. 533 del 11 de mayo de 2017 por valor de $20.519.000</t>
  </si>
  <si>
    <t>Adición según Acuerdo 003 del 19 de abril de 2017 y Resolución No. 533 del 11 de mayo de 2017 por valor de $33.648.000</t>
  </si>
  <si>
    <t>Adición según Acuerdo 003 del 19 de abril de 2017 y Resolución No. 533 del 11 de mayo de 2017 por valor de $10.627.242</t>
  </si>
  <si>
    <t>Adición según Acuerdo 003 del 19 de abril de 2017 y Resolución No. 533 del 11 de mayo de 2017 por valor de $19.094.974</t>
  </si>
  <si>
    <t>Adición según Acuerdo 003 del 19 de abril de 2017 y Resolución No. 533 del 11 de mayo de 2017 por valor de $179.167.015,54</t>
  </si>
  <si>
    <t>Adición según Acuerdo 003 del 19 de abril de 2017 y Resolución No. 533 del 11 de mayo de 2017 por valor de $50.525.269</t>
  </si>
  <si>
    <t>Adición según Acuerdo 003 del 19 de abril de 2017 y Resolución No. 533 del 11 de mayo de 2017 por valor de $286.331.456</t>
  </si>
  <si>
    <t>Adición según Acuerdo 003 del 19 de abril de 2017 y Resolución No. 533 del 11 de mayo de 2017 por valor de $27.606.133</t>
  </si>
  <si>
    <t>Adición según Acuerdo 003 del 19 de abril de 2017 y Resolución No. 533 del 11 de mayo de 2017 por valor de $1.429.951.675,48 y contracrédito según Acuerdo 004 del 13 de junio del 2017 por valor de $35.933.582</t>
  </si>
  <si>
    <t>Adición según Acuerdo 003 del 19 de abril de 2017 y Resolución No. 533 del 11 de mayo de 2017 por valor de $30.958.200 y credito según Acuerdo 004 del 13 de junio del 2017 por valor de $210.840.000</t>
  </si>
  <si>
    <t>Se efectúa adición de 654.724.620 a través de Resolución 279 del 10 de marzo de 2017 y Adición según Acuerdo 003 del 19 de abril de 2017 y Resolución No. 533 del 11 de mayo de 2017 por valor de $183.867.149</t>
  </si>
  <si>
    <t>Contracrédito según Acuerdo 004 del 13 de junio del 2017 por valor de $7.633.136</t>
  </si>
  <si>
    <t>Contracrédito según Acuerdo 004 del 13 de junio del 2017 por valor de $7870923</t>
  </si>
  <si>
    <t>Credito según acuerdo 004 del 13 de junio del 2017 por valor de $5.320.000</t>
  </si>
  <si>
    <t>Avance en el proceso aprestamiento en cuenca Mayo y avance en proceso de diagnóstico en la cuencas  Juanambú, Guáitara, Mira  y Mayo</t>
  </si>
  <si>
    <t>Acciones previas para el fortalecimiento del convenio interinstitucional entre la Corporación y el  MADS para formulación del Plan de Ordenación y Manejo Integrado de la Unidad Ambiental Costera Llanura Aluvial del Sur</t>
  </si>
  <si>
    <t>Realización de 123 visitas de control y monitoreo a generadores de residuos hospitalarios y peligrosos</t>
  </si>
  <si>
    <t>Identificación de 28 generadores de residuos peligrosos ubicados en la jurisdicción de Corporación</t>
  </si>
  <si>
    <t>% AVANCE PROCESO DE GESTION DE LA META ANUAL</t>
  </si>
  <si>
    <t>Realización de  10 registros de generadores de residuos peligrosos ante la plataforma del IDEAM</t>
  </si>
  <si>
    <t>Realizaron 6 visitas de seguimiento a las metas de aprovechamiento de residuos sólidos  establecidas en los PGRS de  Aldana, Belén, Buesaco, Chachagui, Colon Génova y Consaca</t>
  </si>
  <si>
    <t xml:space="preserve">213  personas capacitadas en Gestión integral de residuos, gestión integral de residuos peligrosos y diligenciamiento plataforma generadores </t>
  </si>
  <si>
    <t>Forimula no superior sl ponderado</t>
  </si>
  <si>
    <t>6  visitas de control y monitoreo a los Municipios de Aldana, Belén, Buesaco, Chachagui, Colon Génova y Consaca  con respecto  los sitios de disposición final  de los residuos sólidos.</t>
  </si>
  <si>
    <t>revisar acumulado al  final</t>
  </si>
  <si>
    <t>Resumen: Evaluación de 101 Planes de Contingencia (98  aprobados y 3 negados) sobre un total de 139 radicados en la corporación entre el segundo semestre 2016 y primer semestre de 2017. Realización de 131 visitas de seguimiento a Palanes de contingencia, 55 de costa pacífica y 76 en la zona andina.</t>
  </si>
  <si>
    <t>Banco de proyectos operando; evaluación y aprobación de proyectos, lectura de indicadores de seguimiento trimestral y semestral, modificaciones físicas y/o financieras, implementación del módulo de contratos</t>
  </si>
  <si>
    <t>Formulación de 6 proyectos de acuerdo a la metodología vigente, los cuales se encuentran en trámite para financiación</t>
  </si>
  <si>
    <t>Sistema de gestión institucional operatividad en marco de la certificación en las normas de ISO9001:2008 y NTCGP1000:2009 y la acreditación en cumplimiento de la Norma Técnica Colombiana NTC-ISO/IEC 17025</t>
  </si>
  <si>
    <t>Divulgación de la información sobre el  quehacer misional de la entidad, mediante  estrategias y canales de comunicación, orientados a los grupos de interés a nivel interno y externo.</t>
  </si>
  <si>
    <t>Inicio de preparación de los estatutos de la Red Departamental de cambio Climático y la preparación del seminario en cambio climático.</t>
  </si>
  <si>
    <t xml:space="preserve">Revisión el portafolio de medidas de mitigación </t>
  </si>
  <si>
    <t>Actividad precontractual para para la construcción de la propuesta de educación, sensibilización y formación de públicos priorizados</t>
  </si>
  <si>
    <t>Red de Monitoreo de la ciudad de Pasto ha operado a través de la estación de muestreo de material particulado menor a 10 micras (PM10) ubicada en la Universidad Mariana.</t>
  </si>
  <si>
    <t>La concentración PM10 se encuentra comprendido entre los 20 a los 41 μg/m3, lo cual no supera los límites máximos permisibles de acuerdo con la normatividad aplicable.  El Índice de Calidad del Aire observado para el primer semestre de la vigencia 2017, se encuentra dentro de la clasificación: Buena.</t>
  </si>
  <si>
    <t>Seguimiento a 27 proyectos generadores de emisiones atmosféricas, lo que corresponde al 90% de los usuarios legalizados ante la Entidad. En el primer semestre se avanzó en el 48% de las 56 visitas programadas</t>
  </si>
  <si>
    <t>revisar avance acumulado</t>
  </si>
  <si>
    <t>2 solicitudes de permiso de emisiones atmosféricas, las cuales a la fecha se encuentran otorgadas con un tiempo promedio de 376,5 días hábiles,  es decir  se utilizó el 40,56 % del tiempo  fijado en la normatividad ambiental,</t>
  </si>
  <si>
    <t>Se verificaron un total de 321 vehículos (115 en Pasto, 110 en piales, 96 en Túquerres)</t>
  </si>
  <si>
    <t>Corresponde al reporte de información de 11 CDA que operan en los municipios de Pasto, Túquerres e Ipiales. El análisis de la información se constata que cada vehículo este dentro del rango máximo permisible de emisión según la norma ambiental vigente.</t>
  </si>
  <si>
    <t>Revisar acumulado</t>
  </si>
  <si>
    <t>Organización y logística para el taller orientado al acompañamiento técnico para la adopción de los planes de descontaminación por ruido, dirigido al municipio de Tumaco</t>
  </si>
  <si>
    <t>En funcionamiento con 37 indicadores mínimos de Gestión y Ambientales de las resoluciones 643 de 2004 y 964 de 2007</t>
  </si>
  <si>
    <t>.- Actualización permanente del portal Web y la Intranet Institucional
.- Componente Seguridad de la Información
.- Componente Tic para la gestión
.- Componente TIC para gobierno abierto - Herramienta SILA Y VITAL</t>
  </si>
  <si>
    <t xml:space="preserve">
el texto de la ficha del sistema es diferente al word y no de visitas es diferente</t>
  </si>
  <si>
    <t>10 fuentes hídricas monitoreadas en los municipios de La Llanada, Los Andes Sotomayor, Cumbitara y Samaniego los resultados de los análisis de muestras de agua arrojan resultados de no detección o concentración 0 de mercurio</t>
  </si>
  <si>
    <t>analizar acumulado y %</t>
  </si>
  <si>
    <t>56 visitas de campo; 19 a proyectos de explotación y beneficio mineral que cuentan con instrumento ambiental otorgado por CORPONARIÑO, siete 7 a proyectos que se encuentran vinculados al procesos de formalización por minería tradicional, 26 para la caracterización de fuentes hídricas, 3 visitas en atención a denuncias ambientales y 1 visita en atención a  requerimientos de la comunidad en general.</t>
  </si>
  <si>
    <t>Los profesionales contratados para realizar las actividades en el laboratorio del centro Ambiental Minero, se encargan de realizar el mantenimiento preventivo de los diferentes equipos, para que funcionen adecuadamente</t>
  </si>
  <si>
    <t>El avance debe estar enfocado cuantos analisis y se realizaron en el laborator</t>
  </si>
  <si>
    <t xml:space="preserve">Proceso contractual de profesional encargado de realizar éstas actividades </t>
  </si>
  <si>
    <t xml:space="preserve">11 Afluentes del Lago Guamués  se encuentra en fase prospectiva y de formulación, se ha llevado a cabo el cálculo de demanda actual, modelación de calidad del Recurso Hídrico, elaboración de bases de datos de resultados de laboratorio para la modelación, realización del Plan de Seguimiento y Monitoreo para cada afluente y está en proceso el análisis de amenazas por avenidas torrenciales e inundaciones. </t>
  </si>
  <si>
    <t>Acciones de la fase diagnostica, identificación de todos los usuarios presentes (generadores de vertimientos, captaciones, ocupación de cauce, tributarios) en los cauces principales de las fuentes hídricas en actualización vigencia 2017, con el fin de preservar la calidad de las fuentes hídricas y  limitar en lo posible los impactos ambientales provocados por la contaminación.</t>
  </si>
  <si>
    <t>Seguimiento a todos los usuarios generadores de vertimientos de las fuentes hídricas reglamentadas (32 usuarios); donde se ha verificado el cumplimiento de los compromisos adquiridos en la vigencia 2016, controles y monitoreos de sus sistemas de tratamiento y solicitud de caracterización de caudales de acuerdo con su proceso productivo.</t>
  </si>
  <si>
    <t>Asesoría y asistencia técnica en la inclusión del componente ambiental en los procesos de ordenamiento territorial, con énfasis en la inclusión de las determinantes ambientales a 8 municipios: Buesaco, Barbacoas, Contadero, El Peñol, Sapuyes, Arboleda, San Bernardo y Pasto</t>
  </si>
  <si>
    <t>Los que son con meta 100 anual y total  y registran avance; formula como aquí</t>
  </si>
  <si>
    <t>Asesoría en gestión del riesgo y su integración a los procesos de ordenamiento territorial a 8 municipios: Buesaco, Barbacoas, Contadero, El Peñol, Sapuyes, Arboleda, San Bernardo y Pasto y a los municipios asistentes a los talleres subregionales de la zona sur y zona centro.</t>
  </si>
  <si>
    <t>Asesoría y asistencia técnica a 8 los entes territoriales del departamento de Nariño en la integración, planificación y ejecución de acciones relacionadas con variabilidad y cambio climático.</t>
  </si>
  <si>
    <t>Seguimientos correspondientes  a los municipios de Taminango, Policarpa, Leiva y La Cruz, con el propósito de verificar los avances en el desarrollo de actividades asociadas al componente ambiental y demás aspectos concertados en los instrumentos de planificación territorial</t>
  </si>
  <si>
    <t>Proyección de modificación del protocolo para iniciar con dicho proceso, el cual se encuentra en revisión por la Oficina Jurídica de la Corporación.</t>
  </si>
  <si>
    <t>Proceso de contratación del laboratorio acreditado para el análisis de los parámetros exigidos por la Resolución 0631 de 2015, dicho proceso de encuentra cargado al SECOP bajo el número 004 de 2017.
Este indicador  se cambio de proyecto medante acuerdo 001 de 2017</t>
  </si>
  <si>
    <t xml:space="preserve"> Realización de 41 visitas de seguimiento y control a los municipios que cuentan con PSMV aprobado</t>
  </si>
  <si>
    <t>157 seguimientos de control y monitoreo a expedientes de permisos de vertimientos de diferentes zonas del departamento de Nariño</t>
  </si>
  <si>
    <t>2016: 55 PSMV
2017: 62 PSMV
2018: 62 PSMV
2019: 62 PSMV
Total: 62 PSMV</t>
  </si>
  <si>
    <t xml:space="preserve">2016: 275 PV
2017: 400 PV
2018: 400 PV
2019: 400PV
</t>
  </si>
  <si>
    <t>Proceso de liquidación de Tasa Retributiva, para ello se contemplaron 96 tramos del departamento de Nariño que han sido incluidos en el Acuerdo 011/2015 y que son sujetos al cobro de la Tasa Retributiva</t>
  </si>
  <si>
    <t>2016: 370
2017: 370
2018: 370
2019: 370</t>
  </si>
  <si>
    <t>Seguimiento al 100% de los usuarios generadores de vertimientos que han sido incluidos en el Acuerdo, por lo tanto se da cumplimiento al indicador dentro del primer semestre de la vigencia 2017, en atención a lo establecido en el Decreto 1076/2015 y en el Sistema de Gestión Institucional..</t>
  </si>
  <si>
    <t>Revisar acumulados tiempos promedios y metas 2016</t>
  </si>
  <si>
    <t xml:space="preserve">Se realizaron seis (6) seguimientos a los PUEAA de los diferentes a los municipios, solicitud de 53 procesos sancionatorios a usuarios </t>
  </si>
  <si>
    <t>corregir gestion el el sistema</t>
  </si>
  <si>
    <t>Apertura de 203 de Concesiones de Aguas  en los diferentes sectores entre ellos se encuentran las juntas administradoras, alcaldías municipales, Distrito de Riego entre otros.</t>
  </si>
  <si>
    <t>revisar avance real</t>
  </si>
  <si>
    <t>Imprimit hoja</t>
  </si>
  <si>
    <t>Revisar acumulados tiempos promedios
al parecer cambia promedios pro cuanto solo tomaron datos del 2 trimestre y no del semestre</t>
  </si>
  <si>
    <t>Atención de 19 solicitudes de fenómenos naturales que generan riesgo a la población y/o a los recursos naturales7.</t>
  </si>
  <si>
    <t>Diagnostico general, determinación de niveles máximos, análisis estadístico de niveles del lago, orto fotografías, cálculo de proyecciones a 12, 25 y 50 años, correspondiente al estudio:  zonificación de areas de inundación en el caserio del puerto de la laguna de la cocha</t>
  </si>
  <si>
    <t>Se orientó y apoyó al Consejo Municipal de Gestión del Riesgo del municipio de San Bernardo, como parte de los compromisos adquiridos por la corporación en el Consejo Departamental de Gestión del Riesgo de Desastres llevado a cabo en dicho municipio y como actividades complementarias a los procesos de Gestión del Riesgo desarrollados en el territorio</t>
  </si>
  <si>
    <t>En sistema 2 y la descripcion 1; CUAL ES??</t>
  </si>
  <si>
    <t>Informes y conceptos técnicos que el equipo de Gestión Ambiental del Riesgo ha generado por medio de las visitas técnicas realizadas en campo</t>
  </si>
  <si>
    <t xml:space="preserve">Socialización de la "Estrategia de Corresponsabilidad Social en la Lucha Contra Incendios Forestales" en 15 de los 26 municipios priorizados </t>
  </si>
  <si>
    <t>Identificación un área de riesgo en donde se pueda desarrollar una obra de mitigación o estabilización</t>
  </si>
  <si>
    <t>Ejecución de actividades de restauración ecológica en zonas de importancia para la recarga hídrica  de las cuencas de los ríos Guáitara, Juanambú, Güiza y Mayo;  adicionalmente se inició el proceso se implantación de incentivos a la conservación ambiental .</t>
  </si>
  <si>
    <t xml:space="preserve"> 373 hectáreas restauradas en diferentes municipios del Departamento de Nariño. </t>
  </si>
  <si>
    <t xml:space="preserve">Mantenimiento de 50 has establecidas en la vigencia 2016 en los municipios de: Samaniego, El Tambo, Ospina, Los Andes, Ipiales, Yacuanquer, San Bernardo, Buesaco, Taminango, Colon y la Cruz, pertenecientes a las cuencas de los rios Guaitara, Juanambu y Mayo.  </t>
  </si>
  <si>
    <t>50 has que no suman al indicador  2017 - julian</t>
  </si>
  <si>
    <t>diferencia entre el avance y el indicador</t>
  </si>
  <si>
    <t>La contratación con las fundaciones se realiza en el mes de mayo, por tal razón no se evidencia avance físico: Aseagro, Asogenova, Fadarcol quienes ejecutarán procesos de restauración en las zonas de San Pablo, Belen, Colon y La Cruz cada uno de estos municipios con 6 hectáreas a restaurar para un total de 24 hectáreas</t>
  </si>
  <si>
    <t xml:space="preserve">Contratación con la fundación: UN SOLO CORAZÓN POR NUESTRO FUTURO, donde se determinó establecer 56 incentivos a la conservación con la implementación de unidades avícolas.  </t>
  </si>
  <si>
    <t>Meta 2016:   50
Meta 2017:   106
Meta 2018:   50
Meta 2019:   50
Total:           256</t>
  </si>
  <si>
    <t>Dos seguimientos a los procesos misionales y al proceso gestión analítica, un seguimiento a los mapas de riesgos de los once procesos y al centro ambiental Suroccidente y un seguimiento al plan anticorrupción y atención al ciudadano con corte al 31 de mayo de 2017</t>
  </si>
  <si>
    <t>Informe de seguimiento a derechos de autor; Informe anual de control interno vigencia 2016 (DAFP MECI- Calidad); Auditoria independiente al Centro Ambiental Sur; Auditoria independiente al Centro Ambiental Costa Pacífica</t>
  </si>
  <si>
    <t>Para dar cumplimiento al programa de auditoria interna con aplicación de las normas NTCGP1000, NTC-ISO 9001:2015 se hace necesario desarrollar una jornada de capacitación dirigida a los Auditores Internos durante los días 2, 3 y 4 de agosto de 2017</t>
  </si>
  <si>
    <t>Programado la contratación de servicios para la realización de talleres dirigidos al personal de la corporación, con el fin de lograr el fortalecimiento del autocontrol, autogestión y autorregulación; evento que está programado para el segundo semestre de la presente vigencia</t>
  </si>
  <si>
    <t>Para el cumplimiento de éste indicador se requeire la suscripcion de un covenio con INVEMAR, programado para el segundo semestre.
Este indicador  se cambio de proyecto medante acuerdo 001 de 2017</t>
  </si>
  <si>
    <t>Actualización de la información contenida en los insumos entregados por el IAvH a 2017, acercamiento con la comunidad presente en el complejo de páramos La Cocha Patascoy, caracterización de actores sociales, desarrollaron 25 talleres para el proceso de levantamiento de información primaria, 379 encuestas y  se identificó con la comunidad los procesos de producción económica predominante en las veredas y un análisis sectorial de las actividades económicas</t>
  </si>
  <si>
    <t xml:space="preserve">Propuesta para la segunda fase de implementación y diagnóstico “Conservación y mitigación del conflicto hombre oso (Tremarctos ornatus), con participación comunitaria. En referencia al Tucán Pechigris (Andigena hypoglauca) se avanzó en línea base, información primaria, distribución biogeográfica, talleres de capacitación, entrega de material divulgativo </t>
  </si>
  <si>
    <t>Suscribicion de un Convenio Interinstitucional con Cornare y Masbosques  para continuar con la administración de la plataforma y de esta manera garantizar la continuidad de la estrategia.fortaleciendo la estrategia.</t>
  </si>
  <si>
    <t>Ajuste de los documentos técnicos y síntesis en sus componentes Físico Ambiental, Biótico, Socioeconómico y Cultural que argumentan la declaratoria de tres áreas (Volcán Azufral, Páramo de las Ovejas-Tauso y Cerro Chimayoy), documentos que se enviaron para revisión y aprobación por parte del IAvH para generar el concepto previo favorable según el artículo 39 del Decreto 2372 de 2010.</t>
  </si>
  <si>
    <t>Se cuenta con los Planes de manejo de las áreas en proceso de declaratoria Páramo de las Ovejas-Tauso y Volcán Azufral terminados y en proceso de revisión. Conjuntamente con el equipo técnico que apoyará la formulación del plan de manejo del área propuesta como DMI Cerro Chimayoy, se revisó y ajusto la propuesta metodológica para su formulación.</t>
  </si>
  <si>
    <t>Se cuenta con dos áreas declaradas a nivel regional (PNR páramo de Paja Blanca 2062 hectáreas de páramo y RFPR Volcán Azufral con 1288 hectáreas), las dos áreas cuentan con proceso de declaratoria y plan de manejo</t>
  </si>
  <si>
    <t>Visitas técnicas dentro del área del corredor biológico Ángel - Chiles - Quitasol acordadas con los resguardos indígenas presentes en el territorio, alcaldías y organizaciones no gubernamentales para el reconocimiento, selección y diagnóstico de las áreas susceptibles a ser intervenidas, selección de especies para la restauración, propagación y manejo de material vegetal, obteniendo un listado de plantas propias del ecosistema en cada zona de intervención</t>
  </si>
  <si>
    <t>Socialización del proyecto en los municipios donde tiene cobertura el proyecto, identificación de 65 de 100 beneficiarios quienes cumplen con los criterios de selección establecidos por CORPONARIÑO y el proyecto. Entre otras actividades que hacen relación al indicador está el ajuste del plan operativo, elaboración de diagnóstico de los municipios del área de influencia y elaboración de los protocolos para el desarrollo de las Escuelas de campo para agricultores ECAS.</t>
  </si>
  <si>
    <t>Se surtió todo el proceso precontractual y contractual para el establecimiento de los componentes de sostenibilidad, los cuales se implementarán en las zonas de influencia del Páramo Las Ovejas Tauso, Reserva Forestal Protectora Nacional Ríos Bobo y Buesaquillo</t>
  </si>
  <si>
    <t>Se cumple automáticamente cuando se establecen los acuerdos de conservación con los beneficiarios de los componentes. La meta está fijada para terminarla en diciembre de 2017</t>
  </si>
  <si>
    <t>Acciones de acompañamiento y gestión en tres escenarios interesados en el potencial turístico ambiental de Nariño, realización de una visita a la Reserva Forestal El Azufral en compañía de delegados de la Oficina de Turismo de la Gobernación de Nariño y Policía Nacional, en el marco de las acciones que adelanta el Ministerio de Comercio, Industria y Turismo concernientes al diagnóstico de áreas con potencial turístico ambiental para su fortalecimiento y visibilización</t>
  </si>
  <si>
    <t>Reconocimiento de las 12 hectáreas, 8 para el humedal Ramsar y 4 que se implementarán en el Totoral, con el propósito de adelantar la implementación de las acciones de restauración, recuperación y rehabilitación, las cuales se ejecutarán bajo una alianza con la Asociación agroecológica de santa rosa corregimiento del encano municipio de Pasto</t>
  </si>
  <si>
    <t>Articulación de trabajo con dos resguardos de la zona de pie de monte: Resguardo de Pialapi La Planada para jornadas de capacitación con el objetivo de generar conocimiento acerca de los ecosistemas que se encuentran en la zona de influencia y El Gran Sábalo – UNIPA, donde se beneficiaron 395 personas que conforman 89 familias, y a más de 200 cabildantes del resguardo y se implementó una huerta alimentaria demostrativa de especies tradicionales del pueblo Awá, acercamiento con la comunidad del resguardo Indígena Cuaiquer Viejo La Milagros, con quienes se realizó una alianza  que beneficiara a 25 familias.</t>
  </si>
  <si>
    <t>Administración de las 4 zonas de Reservas Forestales Protectoras Nacionales (La Cocha Patascoy, Rio Bobo Buesaquillo, Cuenca Alta Rio Nembi,  La Planada)  se adelantaron de acuerdo a la normatividad vigente artículo 31 de la Ley 99 de 1993; para lo cual Corponariño cuenta con un equipo de profesionales y técnicos para cada área, encargados de adelantó actividades de control, monitoreo y talleres de educación ambiental los cuales se fortalecieron con la articulación comunitaria e institucional (actores sociales).</t>
  </si>
  <si>
    <t>Declaratoria de 4 áreas (Páramo de Paja Blanca, Volcán Azufral, Enclave Subxerofitico y Páramo de la Ovejas) de las cuales 2 cuentan con Planes de Manejo, las cuales son el Enclave Subxerofitico y el Páramo de Las Ovejas Tauso. Para casa área se adelantó acciones.</t>
  </si>
  <si>
    <t>Caracterización del área denominada Andino Pacífica,documento preliminar con los avances de la Fase II Aprestamiento, memorias de talleres para concertar y definir predios priorizados, documento, mapas y avance en la evaluación de la viabilidad socioeconómica de predios priorizados, documento y mapas finales de la Fase II Aprestamiento en el desarrollo de la Ruta del Proceso de Declaratoria de un área protegida en la zona de Cumbitara, La Llanada y Los Andes Sotomayor, Informe del proceso de producción de material vegetal del vivero y identificación de áreas para la restauración</t>
  </si>
  <si>
    <t>Primer Comité Directivo del SIRAP Macizo del año 2017, socialización del Plan acción CONPES Macizo, primer Comité Técnico del año 2017, actualización del sistema de información documental del SIRAP Macizo y articulación de los Planes de Acción 2016-2018 de las CAR al Plan prospectivo SIRAP 2016-2028</t>
  </si>
  <si>
    <t>Reuniones previas con el Representante legal de la Fundación MAYUNKA con el fin de asesorar en temas relacionados acciones de restauración ecológica participativa en predios liberados los cuales se encuentran en ZAVA Galeras, así como también para la presentación de avances de acuerdo al sistema de gestión de la Institución..</t>
  </si>
  <si>
    <t>Reconocimiento de los beneficiarios, los cuales son valorados por parte del equipo profesional de acuerdo a las características específicas, principalmente que deben encontrarse dentro del área con función amortiguadora del área protegida en alianza con la Fundación para el Desarrollo Agroindustrial y Social de Colombia</t>
  </si>
  <si>
    <t>Realización  56 visitas de seguimiento, acompañamiento, interventoría y asistencia técnica, a proyectos de explotación de minería de aluvión, en los municipios de Roberto Payán, Maguí Payán, Barbacoas y Tumaco. Teniendo que solo existen 3 proyectos que cuentan con instrumento ambiental otorgado por CORPONARIÑO, los demás proyectos no cuentan con ningún permiso ambiental para realizar las actividades de explotación, como también no cuentan con solicitud de concesión minera.</t>
  </si>
  <si>
    <t>Realización de 61 visitas de seguimiento ambiental a proyectos formales e informales dedicados e la extracción de materiales de construcción en la zona andina del departamento de Nariño, se realizaron salidas de campo para atender las solicitudes interpuestas por usuarios y administraciones municipales, por posibles afectaciones a los recursos naturales renovables; en el caso de los proyectos que son ilegales, se realizó las visitas técnicas con policía nacional y funcionarios de alcaldías, en las cuales se informó a los usuarios que deben cumplir con los requisitos normativos</t>
  </si>
  <si>
    <t>Se tiene programado para el segundo  semestre Adecuar y mejorar las condiciones locativas y de seguridad de los actuales Centros de Atención y Valoración CAV de Flora de los Centros Ambientales, iniciando con el de la Sede Central</t>
  </si>
  <si>
    <t>Realizacion de 57 retenes u operativos de control y vigilancia forestal y de fauna silvestre en articulación con Policía Nacional, l decomiso de 20 metros cúbicos de guadua por no portar el Salvoconducto Único de Movilización y también el decomiso de una tortuga lagarto.</t>
  </si>
  <si>
    <t xml:space="preserve">Cinco tramites iniciados en 2016,   cuya resolución se emitió en el presente año,con  tiempo promedio de  87.8 días; empleando el 97,56% del tiempo establecido en la norma: </t>
  </si>
  <si>
    <t>Realización de 41 muestras a aves como patos silvestres (Flia anatidae), y garzas (Ardea alba). Las muestras fueron remitidas para su respectivo análisis en el laboratorio del ICA, cuyos resultados aún no se conocen.</t>
  </si>
  <si>
    <t>Realización 10 visitas de control, prevención y manejo del caracol gigante en veredas del municipio de Tumaco, donde se verificó   la presencia del Caracol Africano (Achatina fúlica) y se realizaron jornadas de control y manejo del caracol con habitantes de las zonas donde se presenta esta especie invasora.</t>
  </si>
  <si>
    <t>Se continuo con las visitas de control, seguimiento, prevención y manejo de la especie caracol gigante (Achatina fúlica), de acuerdo a la Resolución 0654 del 2011 y al Plan Nacional Interinstitucional del Sector Ambiental, Agropecuario, Salud y Defensa en los municipios de la Costa Pacífica donde se ha detectado la presencia de la especie.</t>
  </si>
  <si>
    <t>La jornada, evento o campaña de educación ambiental se oragnizará para el segundo semestre del año en curso.</t>
  </si>
  <si>
    <t>Seguimiento a: 46 Licencias ambientales, 716 Concesiones de agua, 119 Permisos de vertimiento, 15 Permisos de aprovechamiento forestal, 25 Permisos emisiones atmosféricas, para un total de 921 con respectoa la meta de 1.894</t>
  </si>
  <si>
    <t>Registro en SISAIRE de 40 muestras validadas, dentro del cual se establece un total de 53 muestreos; en sistema SNIF se reportó la información a medida que se fue extrayendo de la base de datos histórica de la Corporación, en cuanto a Decomisos e Incendios de cobertura Vegetal ya fueron reportados en su totalidad. En cuanto al reporte de información al SIRH, se realizó el diligenciamiento de la matriz de identificación de fuentes hídricas con relación a los resultados de las caracterizaciones fisicoquímicas y microbiológicas reportadas en los años 2015 y 2016</t>
  </si>
  <si>
    <t xml:space="preserve">Trámites contractuales adelantados para la recolección de información para alimentación de la matriz que debe ser presentada anualmente al Ministerio.  </t>
  </si>
  <si>
    <t>El tiempo promedio de trámite para la resolución de autorizaciones ambientales otorgadas por la Corporación es de 60.2 días</t>
  </si>
  <si>
    <t>Socialización del proyecto en 10 municipios con directores de UMATAS y/o secretarias de agricultura. Se identificó 18 de 20 organizaciones; se inició un proceso de acompañamiento técnico ambiental a través de jornadas de capacitación, visitas a finca, registro del plan de mejora y acompañamiento en la implementación. Respecto al Centro Ambiental Guairapungo se produjo 80.000 alevinos, se atendieron 4 giras de orientación en el manejo de alevinaje de trucha para una atención de 275 personas.</t>
  </si>
  <si>
    <t>texto repetido</t>
  </si>
  <si>
    <t xml:space="preserve">Elaboración de  la matriz con información de 30 planes de mejora, este insumo permite visualizar las necesidades y limitantes que presenta cada organización y permite la gestión y articulación institucional. Se elaboró los contenidos de capacitación desde el alcance ambiental, se gestionó apoyo con el SENA para fortalecer acompañamiento en el área contable, sociorganizacional y comercial, y se realizó la socialización del plan de mejora a 21 de 30 emprendimientos en 12 municipios.  </t>
  </si>
  <si>
    <t>Socialización del programa regional de negocios verdes y la socialización del plan de mejora en los municipios priorizados. Se socializó los avances con el SENA, con quien se gestionó apoyo en la implementación del plan de mejora en temas y acciones que CORPONARIÑO no tiene el alcance entre ellos manejo contable y comercial. En este periodo se identificó 12 nuevas iniciativas de 20 proyectadas, para complementar la línea base.</t>
  </si>
  <si>
    <t>Acciones previas para suscribir un convenio especial de cooperación científica y tecnológica con la fundación geobióstefa. Teniendo en cuenta el recurso económico asignado se especializó y priorizó la cuenca alta del rio Pasto para dar inicio a este estudio en esta área de importancia ambiental. Con el estudio se busca generar información del estado de erosión para asociar al índice de conservación de suelos.</t>
  </si>
  <si>
    <t>Se adelanto 1422 actuaciones de impulso procesal, así: 781 Resoluciones, 105 Autos y 536 requerimientos prejurídicos con base a lo establecido en la hoja de ruta y términos de ley, con 81,67% de tiempo promedio; es decir  empleando el  99,6 del planteado en la meta anual ; 82%</t>
  </si>
  <si>
    <t>Se reporta en el rubro de recuperación de cartera en Tasa Retributiva $88.999.126.12, por Tasa de Uso de Agua $50.464.018.93 y por Multas Ambientales $14.125.788.48. A la fecha se ha recaudado $161.759.232. La meta programada para la unidad de cobro coactivo es de $910.000.000 de los cuales se tiene como porcentaje de recaudo el 85% dando un total de $773.500.000 como meta anual.</t>
  </si>
  <si>
    <t>Se allegaron a la unidad de cobro coactivo 2.333 títulos para su estudio, haciendo la devolución de 25 multas ambientales, 57 facturas de tasa retributiva y 630 facturas de tasa por uso de agua; obteniendo de esto 684 expedientes aperturados.</t>
  </si>
  <si>
    <t>Se adelantó el trámite de 48 procesos judiciales los cuales iniciaron con el poder y la respectiva sustitución de poder procesal, con acciones instauradas en otras vigencias y en la presente vigencia. .</t>
  </si>
  <si>
    <t>Conforme a la línea base de los expedientes administrativos que cuenten con iniciación de procesos sancionatorios se tiene un total de 550 autos de trámite, 19 sanciones, 7 archivados, 2 en cesación de procedimiento y 11 resoluciones de proceso sancionatorio. el cumplimiento de la meta semestral es de 81 que equivale 14,72%semestral.</t>
  </si>
  <si>
    <t xml:space="preserve">Se tiene un consolidado de 1.308 actos administrativos radicados para primer semestre de 2017 a los cuales se les desarrollo notificaciones a 1.112 expedientes, de acuerdo a la base de datos de control de actividades de la oficina de notificaciones y el SISRAD </t>
  </si>
  <si>
    <t>Se tomaron 49 muestras en matriz aire, acorde al procedimiento establecido y a la determinación de Material Participado menor a 10 µm PM10. En matriz agua se tomaron 4 muestras acorde a los procedimientos establecidos  (Protocolo Toma, aforo y preservación de muestras) y se realizó la medición de caudal en 7 puntos de muestreo</t>
  </si>
  <si>
    <t>Durante el primer semestre del 2017, el laboratorio analizó 6 muestras en matriz agua y 49 muestras en matriz aire.</t>
  </si>
  <si>
    <t>Durante el primer semestre de 2017, el laboratorio emitió 42 reportes de resultados de muestras de matriz aire y 9 reportes de resultados de matriz agua, realizando el cálculo de resultados, revisión de los mismos, alimentación de la base de datos, elaboración preliminar del reporte de resultados, segunda revisión de resultados y elaboración final del reporte de resultados.</t>
  </si>
  <si>
    <t>Numero de PRAE fortalecidos: Acompañamiento a 12 Instituciones Educativas, como I.E.Chapacual de Yacuanquer , I.E San Francisco  de Asís del Peñol, I.E. Nuestro Señor del Rio de Chiles de Cumbal, I.E. General Santander de Tumaco, I.E. Inmaculada de Robles de la Florida, I.E Técnica Agropecuaria Simón Álvarez de Samaniego, Centro Educativo Municipal la Caldera de Pasto, I.E Tablón Panamericano de Taminango, I.E. San Francisco de Asís de Ancuya, I.E San Francisco de Asís de Linares, I.E. Municipal de Funes, I.E. Técnica Agropecuaria San Carlos Colon.</t>
  </si>
  <si>
    <t>Numero de PROCEDA fortalecidos e implementados: identificación de grupos asociados así: Asoc. de Vivienda San Francisco del Atillo de Chachagui, Asoc Agropecuaria de productores de fruto llano largo de Buesaco, JAC sector cuchala en Sapuyes, fund. Cultual y social de Ospina, JAC sector valencia en Túquerres, asoc.  de cafeteros de Sandoná, asoc.agropecuaria de Fiqueros de la Florida, JAC de Nariño, Fund.  hablemos soluciones para educar de Pasto, Fund. para la investigación y la educación de Pasto, fund. Aquiurma de Pasto, fund.Capitán avillas de Pasto, Federación Nariñense de Fiqueros de Pasto, Corporación para el desarrollo del señor fiquero de Pasto, Fabrica Hilanderas de Nariño</t>
  </si>
  <si>
    <t>Acompañamiento a municipios desde los Comités Interinstitucionales de Educación Ambiental como son Pasto, el Tambo, Tangua, Sapuyes, Ospina, Túquerres, la Cruz, la Unión, San José de Alban, Tumaco, el Charco Roberto Payan, Aldana, Potosi, Pupiales. Se suscribió además el contrato de asociación número 308.</t>
  </si>
  <si>
    <t>Desarrolló la campaña "Ponte en Paz con la Naturaleza"  en época de semana santa la cual se  retoma para el periodo de navidad. De igual manera se trabajó en el evento "Nariño Puro Ambiente" y el evento "Actuando por el Cambio" a través de los Comités Interinstitucionales de Educación Ambiental, así como con grupos organizados donde la temática central fue el cambio climático y la  gestión del riesgo.</t>
  </si>
  <si>
    <t>Realizacion 6 jornadas en el marco de fechas según calendario ambiental cuya actividades principales se llevaron a cabo en el municipio de Pasto, Tumaco y La Unión  tomando como temáticas principales la conmemoración del día mundial de la educación ambiental. la protección de los humedales, el día mundial del agua y los océanos, y el día mundial de la tierra</t>
  </si>
  <si>
    <t>Ejecución de acciones encaminadas desde la educación ambiental an travez del equipo tecnico contratado en el cenntro ambiental Chimayoy</t>
  </si>
  <si>
    <t>En alianza con la a Fundación Cultural y Social de Ospina, se trabajón en la  coordinación  la logística asi como la seleccion de los grupos a trabajar asi: Comunidad de los Pastos, y los Awa.</t>
  </si>
  <si>
    <t>Tabla XX. Avance de metas físicas del PAI - Primer semestre 2017</t>
  </si>
  <si>
    <t>Tabla xx Avance en la ejecución de metas físicas -  Primer semestre 2017</t>
  </si>
  <si>
    <t>Avance en la ejecución de metas físicas  y financieras  - Primer semestre vigencia 2017</t>
  </si>
  <si>
    <t xml:space="preserve">VIGENCIA EVALUADA (AÑO): 2017  PERIODO EVALUADO -ENERO  - JUNIO </t>
  </si>
  <si>
    <t>21.5 has rezagadas de la vigencia 2016, teniendo en cuenta que no concluyó con algunos contratos de asociación por condiciones climáticas adversas que dificultaron la restauración en los municipios de Sotomayor, Samaniego, El Tambo, Ipiales, Pasto, Buesaco, y Taminango, por ello fue necesario realizarle adicionales en tiempo para la vigencia 2017.
Para la vigencia actual se efectua las 50 has consideradas inicialmente en el PAI y las 56 has  las cuales se adicionarion mediante acuerdo 007 de 30 de junio de 2017</t>
  </si>
  <si>
    <t>Tramite de 128 solicitudes de permisos de vertimientos para las distintitas actividades como industriales, domésticas y de servicios en un tiempo promedio de 59.15 días, lo cual esta por debajo del tiempo  establecido en el procedimiento.</t>
  </si>
  <si>
    <t xml:space="preserve">                                                                                                                                                                 </t>
  </si>
  <si>
    <t>Ejecución de actividades de previas de concertacion para ejecucion del proyecto</t>
  </si>
  <si>
    <t>Ejecución de actividades de previas  para ejecucion del proyecto</t>
  </si>
  <si>
    <t xml:space="preserve">    POND
PROGRAMA
PAI</t>
  </si>
  <si>
    <t>Avance en la ejecución de metas físicas  y financieras - Primer semestre vigencia 2017</t>
  </si>
  <si>
    <t>Cumplimiento de ponderación por programa  - Primer semestre  Vigencia  2017</t>
  </si>
  <si>
    <t>RESULTADO PONDERACIÓN  
PRIMER SEMESTRE 2017</t>
  </si>
  <si>
    <t>AVANCE PROCESO DE GESTION DE LA META(%)</t>
  </si>
  <si>
    <t>% DE CUMPLIMIENTO FISICO POND</t>
  </si>
  <si>
    <t>CUMPLIMIENTO  FISICO
(%)</t>
  </si>
  <si>
    <t xml:space="preserve">% DE AVANCE 
FINANCIERO 
</t>
  </si>
  <si>
    <r>
      <rPr>
        <sz val="8"/>
        <color rgb="FFFF0000"/>
        <rFont val="Arial"/>
        <family val="2"/>
      </rPr>
      <t xml:space="preserve">  </t>
    </r>
    <r>
      <rPr>
        <sz val="8"/>
        <color theme="1"/>
        <rFont val="Arial"/>
        <family val="2"/>
      </rPr>
      <t>716</t>
    </r>
    <r>
      <rPr>
        <sz val="8"/>
        <color rgb="FFFF0000"/>
        <rFont val="Arial"/>
        <family val="2"/>
      </rPr>
      <t xml:space="preserve"> </t>
    </r>
    <r>
      <rPr>
        <sz val="8"/>
        <rFont val="Arial"/>
        <family val="2"/>
      </rPr>
      <t>Controles y Monitoreos a concesiones de agua, los cuales se han llevado a cabo en diferentes sectores productivos del departamento de Nariño</t>
    </r>
  </si>
  <si>
    <t>Acompañamiento técnico ambiental a través de jornadas de capacitación, visitas a finca, registro del plan de mejora y acompañamiento en la implementación. Produccion de  80.000 alevinos en el centro Ambiental Guairapungo, atenciónde 4 giras de orientación en el manejo de alevinaje de trucha.</t>
  </si>
  <si>
    <t>% DE CUMPLIMIENTO FISICO</t>
  </si>
  <si>
    <t>Jornadas  de trabajo  Secretaria de Educación del Departamento, la Universidad de Nariño facultad de Educación, Red Departamento de los PRAE, donde se definieron como fechas 9 de agosto, 24 de agosto, 15 de septiembre, 5 de octubre, de la vigencia para abordar temáticas específicas, de la Política Nacional de Educación Ambiental,</t>
  </si>
  <si>
    <t>Para el primer semestre del año 2017, se han protegido 1526,27 hectáreas  en municipio de Pasto en las cuencas de los ríos Alto río Putumayo, Juanambú y Guáitara</t>
  </si>
  <si>
    <t xml:space="preserve">1,071 visitas: 248 visitas de asistencia técnica,  223 visitas para la atención a solicitudes recibidas en la Corporación , 522 visitas de seguimiento de programas y proyectos que ejecuta CORPONARIÑO  y 78 visitas en atencion a solicitudes  restitucion de tierras </t>
  </si>
  <si>
    <t xml:space="preserve">CORPORACIÓN AUTÓNOMA REGIONAL  DE NARIÑO - CORPONARIÑO
MATRIZ DE SEGUIMIENTO DEL PLAN ACCIÓN INSTITUCIONAL 2016-2019
ANEXO NO.1  AVANCE EN LAS METAS FÍSICAS Y FINANCIERAS DEL PLAN DE ACCIÓN  </t>
  </si>
  <si>
    <t>2016: Pasto
2017: Pasto
2018: Pasto e Ipiales
2019: Pasto, Ipiales y Tumaco</t>
  </si>
  <si>
    <t>En articulación con la Policía Nacional, se recibió en el Centro de Paso de Fauna Silvestre de CORPONARIÑO, un total de 166 individuos distribuidos en los siguientes grupos taxonómicos: 45 reptiles, 78 aves y 47 mamíferos.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</si>
</sst>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43" formatCode="_-* #,##0.00_-;\-* #,##0.00_-;_-* &quot;-&quot;??_-;_-@_-"/>
    <numFmt numFmtId="164" formatCode="_(* #,##0_);_(* \(#,##0\);_(* &quot;-&quot;_);_(@_)"/>
    <numFmt numFmtId="165" formatCode="_(* #,##0.00_);_(* \(#,##0.00\);_(* &quot;-&quot;??_);_(@_)"/>
    <numFmt numFmtId="166" formatCode="&quot;$&quot;\ #,##0.00;[Red]\-&quot;$&quot;\ #,##0.00"/>
    <numFmt numFmtId="167" formatCode="_-&quot;$&quot;\ * #,##0_-;\-&quot;$&quot;\ * #,##0_-;_-&quot;$&quot;\ * &quot;-&quot;_-;_-@_-"/>
    <numFmt numFmtId="168" formatCode="m/d/yyyy"/>
    <numFmt numFmtId="169" formatCode="_-* #,##0.00\ _P_t_s_-;\-* #,##0.00\ _P_t_s_-;_-* &quot;-&quot;??\ _P_t_s_-;_-@_-"/>
    <numFmt numFmtId="170" formatCode="_-* #,##0\ _P_t_s_-;\-* #,##0\ _P_t_s_-;_-* &quot;-&quot;??\ _P_t_s_-;_-@_-"/>
    <numFmt numFmtId="171" formatCode="_-* #,##0_-;\-* #,##0_-;_-* &quot;-&quot;??_-;_-@_-"/>
    <numFmt numFmtId="172" formatCode="_-* #,##0.0\ _P_t_s_-;\-* #,##0.0\ _P_t_s_-;_-* &quot;-&quot;??\ _P_t_s_-;_-@_-"/>
    <numFmt numFmtId="173" formatCode="[&gt;=1000000]#,##0.00,,;[&gt;=1000]#,##0.00,;#,##0.00"/>
    <numFmt numFmtId="174" formatCode="#,##0.00_);\-#,##0.00"/>
    <numFmt numFmtId="175" formatCode="_(* #,##0.00_);_(* \(#,##0.00\);_(* &quot;-&quot;_);_(@_)"/>
    <numFmt numFmtId="176" formatCode="#,##0.0"/>
    <numFmt numFmtId="177" formatCode="0.0"/>
    <numFmt numFmtId="178" formatCode="#,##0.00_ ;\-#,##0.00\ "/>
    <numFmt numFmtId="179" formatCode="_-&quot;$&quot;\ * #,##0.00_-;\-&quot;$&quot;\ * #,##0.00_-;_-&quot;$&quot;\ * &quot;-&quot;_-;_-@_-"/>
  </numFmts>
  <fonts count="73" x14ac:knownFonts="1">
    <font>
      <sz val="10"/>
      <name val="Arial"/>
      <family val="2"/>
    </font>
    <font>
      <b/>
      <sz val="10"/>
      <name val="Arial"/>
      <family val="2"/>
    </font>
    <font>
      <b/>
      <sz val="8"/>
      <name val="Arial"/>
      <family val="2"/>
    </font>
    <font>
      <sz val="8"/>
      <name val="Arial"/>
      <family val="2"/>
    </font>
    <font>
      <b/>
      <sz val="10"/>
      <color indexed="8"/>
      <name val="Arial"/>
      <family val="2"/>
    </font>
    <font>
      <sz val="8"/>
      <color indexed="10"/>
      <name val="Arial"/>
      <family val="2"/>
    </font>
    <font>
      <sz val="8"/>
      <color indexed="8"/>
      <name val="Arial"/>
      <family val="2"/>
    </font>
    <font>
      <b/>
      <sz val="8"/>
      <color indexed="10"/>
      <name val="Arial"/>
      <family val="2"/>
    </font>
    <font>
      <b/>
      <sz val="9"/>
      <color indexed="81"/>
      <name val="Tahoma"/>
      <family val="2"/>
    </font>
    <font>
      <sz val="9"/>
      <color indexed="81"/>
      <name val="Tahoma"/>
      <family val="2"/>
    </font>
    <font>
      <sz val="10"/>
      <color indexed="8"/>
      <name val="Arial"/>
      <family val="2"/>
    </font>
    <font>
      <b/>
      <sz val="10"/>
      <color indexed="8"/>
      <name val="MS Sans Serif"/>
      <family val="2"/>
    </font>
    <font>
      <sz val="11"/>
      <name val="Arial"/>
      <family val="2"/>
    </font>
    <font>
      <sz val="10"/>
      <color indexed="8"/>
      <name val="MS Sans Serif"/>
      <family val="2"/>
    </font>
    <font>
      <b/>
      <sz val="8"/>
      <color indexed="8"/>
      <name val="Arial"/>
      <family val="2"/>
    </font>
    <font>
      <b/>
      <sz val="12"/>
      <name val="Arial"/>
      <family val="2"/>
    </font>
    <font>
      <b/>
      <sz val="10"/>
      <color indexed="12"/>
      <name val="Arial"/>
      <family val="2"/>
    </font>
    <font>
      <b/>
      <sz val="9"/>
      <name val="Arial"/>
      <family val="2"/>
    </font>
    <font>
      <sz val="10"/>
      <name val="Bookman Old Style"/>
      <family val="1"/>
    </font>
    <font>
      <strike/>
      <sz val="8"/>
      <color indexed="10"/>
      <name val="Arial"/>
      <family val="2"/>
    </font>
    <font>
      <i/>
      <sz val="8"/>
      <name val="Arial"/>
      <family val="2"/>
    </font>
    <font>
      <sz val="7"/>
      <color indexed="8"/>
      <name val="Arial"/>
      <family val="2"/>
    </font>
    <font>
      <sz val="7"/>
      <name val="Arial"/>
      <family val="2"/>
    </font>
    <font>
      <b/>
      <sz val="7"/>
      <name val="Arial"/>
      <family val="2"/>
    </font>
    <font>
      <sz val="8"/>
      <color theme="1"/>
      <name val="Arial"/>
      <family val="2"/>
    </font>
    <font>
      <b/>
      <sz val="8"/>
      <color rgb="FFFF0000"/>
      <name val="Arial"/>
      <family val="2"/>
    </font>
    <font>
      <sz val="8"/>
      <color rgb="FFFF0000"/>
      <name val="Arial"/>
      <family val="2"/>
    </font>
    <font>
      <b/>
      <sz val="10"/>
      <color theme="1"/>
      <name val="MS Sans Serif"/>
      <family val="2"/>
    </font>
    <font>
      <sz val="8"/>
      <color rgb="FF000000"/>
      <name val="Arial"/>
      <family val="2"/>
    </font>
    <font>
      <sz val="10"/>
      <color rgb="FF000000"/>
      <name val="Arial"/>
      <family val="2"/>
    </font>
    <font>
      <sz val="10"/>
      <color rgb="FF000000"/>
      <name val="Bookman Old Style"/>
      <family val="1"/>
    </font>
    <font>
      <sz val="10"/>
      <color rgb="FF000000"/>
      <name val="Calibri"/>
      <family val="2"/>
    </font>
    <font>
      <b/>
      <sz val="10"/>
      <color rgb="FF000000"/>
      <name val="Calibri"/>
      <family val="2"/>
    </font>
    <font>
      <b/>
      <sz val="8"/>
      <color theme="1"/>
      <name val="Arial"/>
      <family val="2"/>
    </font>
    <font>
      <sz val="9"/>
      <color theme="1"/>
      <name val="Calibri"/>
      <family val="2"/>
    </font>
    <font>
      <sz val="8"/>
      <color rgb="FF000000"/>
      <name val="Calibri"/>
      <family val="2"/>
    </font>
    <font>
      <sz val="8"/>
      <color theme="1"/>
      <name val="Calibri"/>
      <family val="2"/>
    </font>
    <font>
      <b/>
      <sz val="10"/>
      <color rgb="FFFF0000"/>
      <name val="Bookman Old Style"/>
      <family val="1"/>
    </font>
    <font>
      <b/>
      <sz val="10"/>
      <color rgb="FF000000"/>
      <name val="Arial"/>
      <family val="2"/>
    </font>
    <font>
      <sz val="11"/>
      <color rgb="FF000000"/>
      <name val="Arial"/>
      <family val="2"/>
    </font>
    <font>
      <b/>
      <sz val="11"/>
      <color rgb="FF000000"/>
      <name val="Arial"/>
      <family val="2"/>
    </font>
    <font>
      <sz val="10"/>
      <color rgb="FFFF0000"/>
      <name val="Arial"/>
      <family val="2"/>
    </font>
    <font>
      <b/>
      <sz val="10"/>
      <color rgb="FFFF0000"/>
      <name val="Arial"/>
      <family val="2"/>
    </font>
    <font>
      <sz val="14"/>
      <name val="Arial"/>
      <family val="2"/>
    </font>
    <font>
      <b/>
      <sz val="14"/>
      <name val="Arial"/>
      <family val="2"/>
    </font>
    <font>
      <b/>
      <sz val="10"/>
      <color theme="0"/>
      <name val="Arial"/>
      <family val="2"/>
    </font>
    <font>
      <b/>
      <sz val="9"/>
      <color theme="0"/>
      <name val="Arial"/>
      <family val="2"/>
    </font>
    <font>
      <sz val="9"/>
      <name val="Arial"/>
      <family val="2"/>
    </font>
    <font>
      <sz val="9"/>
      <color theme="1"/>
      <name val="Arial"/>
      <family val="2"/>
    </font>
    <font>
      <sz val="9"/>
      <color rgb="FF000000"/>
      <name val="Arial"/>
      <family val="2"/>
    </font>
    <font>
      <sz val="9"/>
      <color indexed="8"/>
      <name val="Arial"/>
      <family val="2"/>
    </font>
    <font>
      <sz val="9"/>
      <color rgb="FFFF0000"/>
      <name val="Arial"/>
      <family val="2"/>
    </font>
    <font>
      <b/>
      <sz val="9"/>
      <color rgb="FF000000"/>
      <name val="Arial"/>
      <family val="2"/>
    </font>
    <font>
      <sz val="10"/>
      <name val="Arial Narrow"/>
      <family val="2"/>
    </font>
    <font>
      <b/>
      <sz val="7"/>
      <color rgb="FFFF0000"/>
      <name val="Arial"/>
      <family val="2"/>
    </font>
    <font>
      <sz val="7"/>
      <color rgb="FFFF0000"/>
      <name val="Arial"/>
      <family val="2"/>
    </font>
    <font>
      <sz val="7"/>
      <color theme="1"/>
      <name val="Arial"/>
      <family val="2"/>
    </font>
    <font>
      <b/>
      <sz val="7"/>
      <color indexed="8"/>
      <name val="Arial"/>
      <family val="2"/>
    </font>
    <font>
      <b/>
      <sz val="14"/>
      <color rgb="FF000000"/>
      <name val="Arial"/>
      <family val="2"/>
    </font>
    <font>
      <sz val="10"/>
      <name val="Arial"/>
      <family val="2"/>
    </font>
    <font>
      <b/>
      <sz val="11"/>
      <color theme="0"/>
      <name val="Arial"/>
      <family val="2"/>
    </font>
    <font>
      <sz val="10"/>
      <color theme="8" tint="-0.499984740745262"/>
      <name val="Arial"/>
      <family val="2"/>
    </font>
    <font>
      <b/>
      <sz val="10"/>
      <color theme="8" tint="-0.499984740745262"/>
      <name val="Arial"/>
      <family val="2"/>
    </font>
    <font>
      <b/>
      <sz val="11"/>
      <color theme="8" tint="-0.499984740745262"/>
      <name val="Arial"/>
      <family val="2"/>
    </font>
    <font>
      <sz val="8"/>
      <color theme="1"/>
      <name val="Verdana"/>
      <family val="2"/>
    </font>
    <font>
      <u/>
      <sz val="8"/>
      <name val="Arial"/>
      <family val="2"/>
    </font>
    <font>
      <b/>
      <sz val="6.6"/>
      <color indexed="8"/>
      <name val="Times New Roman"/>
      <family val="1"/>
    </font>
    <font>
      <b/>
      <sz val="6.6"/>
      <color indexed="8"/>
      <name val="Times New Roman"/>
      <family val="1"/>
    </font>
    <font>
      <sz val="7"/>
      <color indexed="8"/>
      <name val="Times New Roman"/>
      <family val="1"/>
    </font>
    <font>
      <sz val="7"/>
      <color indexed="8"/>
      <name val="Times New Roman"/>
      <family val="1"/>
    </font>
    <font>
      <b/>
      <sz val="7"/>
      <color indexed="8"/>
      <name val="Times New Roman"/>
      <family val="1"/>
    </font>
    <font>
      <sz val="7"/>
      <color rgb="FFFF0000"/>
      <name val="Times New Roman"/>
      <family val="1"/>
    </font>
    <font>
      <b/>
      <sz val="12"/>
      <color theme="1"/>
      <name val="Arial"/>
      <family val="2"/>
    </font>
  </fonts>
  <fills count="4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79995117038483843"/>
        <bgColor indexed="64"/>
      </patternFill>
    </fill>
    <fill>
      <patternFill patternType="solid">
        <fgColor theme="6" tint="0.79995117038483843"/>
        <bgColor indexed="64"/>
      </patternFill>
    </fill>
    <fill>
      <patternFill patternType="solid">
        <fgColor rgb="FFFFFF00"/>
        <bgColor indexed="64"/>
      </patternFill>
    </fill>
    <fill>
      <patternFill patternType="solid">
        <fgColor theme="6" tint="0.39994506668294322"/>
        <bgColor indexed="64"/>
      </patternFill>
    </fill>
    <fill>
      <patternFill patternType="solid">
        <fgColor theme="0" tint="-0.14996795556505021"/>
        <bgColor indexed="64"/>
      </patternFill>
    </fill>
    <fill>
      <patternFill patternType="solid">
        <fgColor indexed="44"/>
        <bgColor indexed="64"/>
      </patternFill>
    </fill>
    <fill>
      <patternFill patternType="solid">
        <fgColor theme="0" tint="-4.9989318521683403E-2"/>
        <bgColor indexed="64"/>
      </patternFill>
    </fill>
    <fill>
      <patternFill patternType="solid">
        <fgColor rgb="FFCCFF99"/>
        <bgColor indexed="64"/>
      </patternFill>
    </fill>
    <fill>
      <patternFill patternType="solid">
        <fgColor indexed="9"/>
        <bgColor indexed="64"/>
      </patternFill>
    </fill>
    <fill>
      <patternFill patternType="solid">
        <fgColor theme="9" tint="0.59999389629810485"/>
        <bgColor indexed="64"/>
      </patternFill>
    </fill>
    <fill>
      <patternFill patternType="solid">
        <fgColor theme="0"/>
        <bgColor rgb="FF000000"/>
      </patternFill>
    </fill>
    <fill>
      <patternFill patternType="solid">
        <fgColor rgb="FFFFFF00"/>
        <bgColor rgb="FF000000"/>
      </patternFill>
    </fill>
    <fill>
      <patternFill patternType="solid">
        <fgColor rgb="FF92D050"/>
        <bgColor indexed="64"/>
      </patternFill>
    </fill>
    <fill>
      <patternFill patternType="solid">
        <fgColor rgb="FF92D050"/>
        <bgColor rgb="FF000000"/>
      </patternFill>
    </fill>
    <fill>
      <patternFill patternType="solid">
        <fgColor indexed="9"/>
        <bgColor indexed="26"/>
      </patternFill>
    </fill>
    <fill>
      <patternFill patternType="solid">
        <fgColor rgb="FFFFC000"/>
        <bgColor indexed="64"/>
      </patternFill>
    </fill>
    <fill>
      <patternFill patternType="solid">
        <fgColor theme="6" tint="0.59999389629810485"/>
        <bgColor indexed="64"/>
      </patternFill>
    </fill>
    <fill>
      <patternFill patternType="solid">
        <fgColor theme="9" tint="0.39994506668294322"/>
        <bgColor indexed="64"/>
      </patternFill>
    </fill>
    <fill>
      <patternFill patternType="solid">
        <fgColor theme="3" tint="0.39994506668294322"/>
        <bgColor indexed="64"/>
      </patternFill>
    </fill>
    <fill>
      <patternFill patternType="solid">
        <fgColor rgb="FFC5E0B2"/>
        <bgColor indexed="64"/>
      </patternFill>
    </fill>
    <fill>
      <patternFill patternType="solid">
        <fgColor theme="4" tint="-0.249977111117893"/>
        <bgColor indexed="64"/>
      </patternFill>
    </fill>
    <fill>
      <patternFill patternType="solid">
        <fgColor theme="5" tint="0.39994506668294322"/>
        <bgColor indexed="64"/>
      </patternFill>
    </fill>
    <fill>
      <patternFill patternType="solid">
        <fgColor theme="4" tint="0.39994506668294322"/>
        <bgColor indexed="64"/>
      </patternFill>
    </fill>
    <fill>
      <patternFill patternType="solid">
        <fgColor rgb="FFFFCCFF"/>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99FF"/>
        <bgColor indexed="64"/>
      </patternFill>
    </fill>
    <fill>
      <patternFill patternType="solid">
        <fgColor theme="4" tint="0.39997558519241921"/>
        <bgColor indexed="64"/>
      </patternFill>
    </fill>
    <fill>
      <patternFill patternType="solid">
        <fgColor rgb="FF00FFCC"/>
        <bgColor indexed="64"/>
      </patternFill>
    </fill>
    <fill>
      <patternFill patternType="solid">
        <fgColor theme="8" tint="0.59999389629810485"/>
        <bgColor indexed="64"/>
      </patternFill>
    </fill>
    <fill>
      <patternFill patternType="solid">
        <fgColor theme="7"/>
        <bgColor indexed="64"/>
      </patternFill>
    </fill>
    <fill>
      <patternFill patternType="solid">
        <fgColor theme="5"/>
        <bgColor indexed="64"/>
      </patternFill>
    </fill>
    <fill>
      <patternFill patternType="solid">
        <fgColor theme="5" tint="-0.249977111117893"/>
        <bgColor indexed="64"/>
      </patternFill>
    </fill>
    <fill>
      <patternFill patternType="solid">
        <fgColor theme="2"/>
        <bgColor indexed="64"/>
      </patternFill>
    </fill>
    <fill>
      <patternFill patternType="solid">
        <fgColor rgb="FF8FCE4A"/>
        <bgColor indexed="64"/>
      </patternFill>
    </fill>
    <fill>
      <patternFill patternType="solid">
        <fgColor rgb="FF8FCE4A"/>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style="thick">
        <color rgb="FF8FCE4A"/>
      </left>
      <right style="thick">
        <color rgb="FF8FCE4A"/>
      </right>
      <top style="thick">
        <color rgb="FF8FCE4A"/>
      </top>
      <bottom style="thick">
        <color rgb="FF8FCE4A"/>
      </bottom>
      <diagonal/>
    </border>
  </borders>
  <cellStyleXfs count="15">
    <xf numFmtId="0" fontId="0" fillId="0" borderId="0"/>
    <xf numFmtId="169" fontId="59" fillId="0" borderId="0" applyFont="0" applyFill="0" applyBorder="0" applyAlignment="0" applyProtection="0"/>
    <xf numFmtId="164" fontId="59" fillId="0" borderId="0" applyFont="0" applyFill="0" applyBorder="0" applyAlignment="0" applyProtection="0"/>
    <xf numFmtId="0" fontId="1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59" fillId="0" borderId="0" applyFont="0" applyFill="0" applyBorder="0" applyAlignment="0" applyProtection="0"/>
  </cellStyleXfs>
  <cellXfs count="1898">
    <xf numFmtId="0" fontId="0" fillId="0" borderId="0" xfId="0"/>
    <xf numFmtId="0" fontId="2" fillId="2" borderId="0" xfId="4" applyFont="1" applyFill="1" applyBorder="1" applyAlignment="1">
      <alignment horizontal="center" vertical="center"/>
    </xf>
    <xf numFmtId="0" fontId="3" fillId="2" borderId="1" xfId="4" applyFont="1" applyFill="1" applyBorder="1" applyAlignment="1">
      <alignment vertical="center"/>
    </xf>
    <xf numFmtId="0" fontId="3" fillId="2" borderId="0" xfId="4" applyFont="1" applyFill="1" applyBorder="1" applyAlignment="1">
      <alignment vertical="center"/>
    </xf>
    <xf numFmtId="0" fontId="2" fillId="2" borderId="1" xfId="4" applyFont="1" applyFill="1" applyBorder="1" applyAlignment="1">
      <alignment vertical="center"/>
    </xf>
    <xf numFmtId="0" fontId="1" fillId="2" borderId="1" xfId="4" applyFont="1" applyFill="1" applyBorder="1" applyAlignment="1">
      <alignment horizontal="justify" vertical="center" wrapText="1"/>
    </xf>
    <xf numFmtId="4" fontId="2" fillId="2" borderId="1" xfId="1" applyNumberFormat="1" applyFont="1" applyFill="1" applyBorder="1" applyAlignment="1">
      <alignment horizontal="right" vertical="center"/>
    </xf>
    <xf numFmtId="0" fontId="2" fillId="2" borderId="0" xfId="4" applyFont="1" applyFill="1" applyBorder="1" applyAlignment="1">
      <alignment vertical="center"/>
    </xf>
    <xf numFmtId="4" fontId="3" fillId="2" borderId="1" xfId="1" applyNumberFormat="1" applyFont="1" applyFill="1" applyBorder="1" applyAlignment="1">
      <alignment vertical="center"/>
    </xf>
    <xf numFmtId="0" fontId="3" fillId="2" borderId="1" xfId="4" applyFont="1" applyFill="1" applyBorder="1" applyAlignment="1">
      <alignment vertical="center" wrapText="1"/>
    </xf>
    <xf numFmtId="4" fontId="3" fillId="2" borderId="1" xfId="1" applyNumberFormat="1" applyFont="1" applyFill="1" applyBorder="1" applyAlignment="1">
      <alignment horizontal="right" vertical="center"/>
    </xf>
    <xf numFmtId="169" fontId="3" fillId="2" borderId="0" xfId="1" applyFont="1" applyFill="1" applyBorder="1" applyAlignment="1">
      <alignment vertical="center"/>
    </xf>
    <xf numFmtId="4" fontId="3" fillId="2" borderId="0" xfId="1" applyNumberFormat="1" applyFont="1" applyFill="1" applyBorder="1" applyAlignment="1">
      <alignment horizontal="right" vertical="center"/>
    </xf>
    <xf numFmtId="0" fontId="3" fillId="2" borderId="0" xfId="4" applyFont="1" applyFill="1" applyBorder="1" applyAlignment="1">
      <alignment horizontal="justify" vertical="top" wrapText="1"/>
    </xf>
    <xf numFmtId="0" fontId="1" fillId="3" borderId="1" xfId="4" applyFont="1" applyFill="1" applyBorder="1" applyAlignment="1">
      <alignment horizontal="justify" vertical="center" wrapText="1"/>
    </xf>
    <xf numFmtId="0" fontId="3" fillId="4" borderId="1" xfId="4" applyFont="1" applyFill="1" applyBorder="1" applyAlignment="1">
      <alignment horizontal="justify" vertical="center" wrapText="1"/>
    </xf>
    <xf numFmtId="0" fontId="3" fillId="0" borderId="1" xfId="4" applyFont="1" applyFill="1" applyBorder="1" applyAlignment="1">
      <alignment horizontal="justify" vertical="center" wrapText="1"/>
    </xf>
    <xf numFmtId="0" fontId="3" fillId="4" borderId="1" xfId="4" applyFont="1" applyFill="1" applyBorder="1" applyAlignment="1">
      <alignment horizontal="justify" vertical="center"/>
    </xf>
    <xf numFmtId="0" fontId="3" fillId="0" borderId="1" xfId="4" applyFont="1" applyFill="1" applyBorder="1" applyAlignment="1">
      <alignment horizontal="justify" vertical="center"/>
    </xf>
    <xf numFmtId="0" fontId="2" fillId="4" borderId="1" xfId="4" applyFont="1" applyFill="1" applyBorder="1" applyAlignment="1">
      <alignment horizontal="justify" vertical="center" wrapText="1"/>
    </xf>
    <xf numFmtId="0" fontId="6" fillId="0" borderId="1" xfId="4" applyFont="1" applyBorder="1" applyAlignment="1">
      <alignment horizontal="justify" vertical="center" wrapText="1"/>
    </xf>
    <xf numFmtId="0" fontId="24" fillId="0" borderId="1" xfId="4" applyFont="1" applyBorder="1" applyAlignment="1">
      <alignment horizontal="justify" vertical="center" wrapText="1"/>
    </xf>
    <xf numFmtId="1" fontId="24" fillId="0" borderId="1" xfId="4" applyNumberFormat="1" applyFont="1" applyBorder="1" applyAlignment="1">
      <alignment horizontal="justify" vertical="center" wrapText="1"/>
    </xf>
    <xf numFmtId="0" fontId="2" fillId="0" borderId="1" xfId="4" applyFont="1" applyFill="1" applyBorder="1" applyAlignment="1">
      <alignment horizontal="justify" vertical="center" wrapText="1"/>
    </xf>
    <xf numFmtId="0" fontId="2" fillId="2" borderId="1" xfId="4" applyFont="1" applyFill="1" applyBorder="1" applyAlignment="1">
      <alignment horizontal="justify" vertical="center" wrapText="1"/>
    </xf>
    <xf numFmtId="169" fontId="3" fillId="2" borderId="1" xfId="1" applyFont="1" applyFill="1" applyBorder="1" applyAlignment="1">
      <alignment vertical="center"/>
    </xf>
    <xf numFmtId="169" fontId="2" fillId="2" borderId="1" xfId="1" applyFont="1" applyFill="1" applyBorder="1" applyAlignment="1">
      <alignment horizontal="justify" vertical="center"/>
    </xf>
    <xf numFmtId="4" fontId="2" fillId="3" borderId="1" xfId="1" applyNumberFormat="1" applyFont="1" applyFill="1" applyBorder="1" applyAlignment="1">
      <alignment horizontal="right" vertical="center"/>
    </xf>
    <xf numFmtId="4" fontId="3" fillId="4" borderId="1" xfId="1" applyNumberFormat="1" applyFont="1" applyFill="1" applyBorder="1" applyAlignment="1">
      <alignment horizontal="right" vertical="center"/>
    </xf>
    <xf numFmtId="4" fontId="3" fillId="0" borderId="1" xfId="1" applyNumberFormat="1" applyFont="1" applyFill="1" applyBorder="1" applyAlignment="1">
      <alignment horizontal="right" vertical="center"/>
    </xf>
    <xf numFmtId="4" fontId="3" fillId="0" borderId="1" xfId="1" applyNumberFormat="1" applyFont="1" applyFill="1" applyBorder="1" applyAlignment="1">
      <alignment vertical="center"/>
    </xf>
    <xf numFmtId="4" fontId="2" fillId="4" borderId="1" xfId="1" applyNumberFormat="1" applyFont="1" applyFill="1" applyBorder="1" applyAlignment="1">
      <alignment horizontal="right" vertical="center"/>
    </xf>
    <xf numFmtId="4" fontId="24" fillId="0" borderId="1" xfId="1" applyNumberFormat="1" applyFont="1" applyFill="1" applyBorder="1" applyAlignment="1">
      <alignment vertical="center"/>
    </xf>
    <xf numFmtId="4" fontId="2" fillId="5" borderId="1" xfId="1" applyNumberFormat="1" applyFont="1" applyFill="1" applyBorder="1" applyAlignment="1">
      <alignment horizontal="right" vertical="center"/>
    </xf>
    <xf numFmtId="0" fontId="6" fillId="2" borderId="1" xfId="4" applyFont="1" applyFill="1" applyBorder="1" applyAlignment="1">
      <alignment horizontal="justify" vertical="center" wrapText="1"/>
    </xf>
    <xf numFmtId="0" fontId="24" fillId="2" borderId="1" xfId="4" applyFont="1" applyFill="1" applyBorder="1" applyAlignment="1">
      <alignment horizontal="justify" vertical="center" wrapText="1"/>
    </xf>
    <xf numFmtId="1" fontId="24" fillId="2" borderId="1" xfId="4" applyNumberFormat="1" applyFont="1" applyFill="1" applyBorder="1" applyAlignment="1">
      <alignment horizontal="justify" vertical="center" wrapText="1"/>
    </xf>
    <xf numFmtId="4" fontId="3" fillId="2" borderId="0" xfId="1" applyNumberFormat="1" applyFont="1" applyFill="1" applyBorder="1" applyAlignment="1">
      <alignment horizontal="center" vertical="center"/>
    </xf>
    <xf numFmtId="0" fontId="25" fillId="2" borderId="1" xfId="4" applyFont="1" applyFill="1" applyBorder="1" applyAlignment="1">
      <alignment horizontal="justify" vertical="center" wrapText="1"/>
    </xf>
    <xf numFmtId="0" fontId="26" fillId="2" borderId="0" xfId="4" applyFont="1" applyFill="1" applyBorder="1" applyAlignment="1">
      <alignment vertical="center"/>
    </xf>
    <xf numFmtId="0" fontId="2" fillId="2" borderId="1" xfId="1" applyNumberFormat="1" applyFont="1" applyFill="1" applyBorder="1" applyAlignment="1">
      <alignment horizontal="center" vertical="center" wrapText="1"/>
    </xf>
    <xf numFmtId="0" fontId="3" fillId="2" borderId="1" xfId="4" applyFont="1" applyFill="1" applyBorder="1" applyAlignment="1">
      <alignment horizontal="justify" vertical="center" wrapText="1"/>
    </xf>
    <xf numFmtId="0" fontId="3" fillId="2" borderId="1" xfId="4" applyFont="1" applyFill="1" applyBorder="1" applyAlignment="1">
      <alignment horizontal="justify" vertical="center"/>
    </xf>
    <xf numFmtId="0" fontId="3" fillId="2" borderId="1" xfId="4" applyFont="1" applyFill="1" applyBorder="1" applyAlignment="1">
      <alignment horizontal="justify" vertical="top" wrapText="1"/>
    </xf>
    <xf numFmtId="4" fontId="2" fillId="0" borderId="1" xfId="1" applyNumberFormat="1" applyFont="1" applyFill="1" applyBorder="1" applyAlignment="1">
      <alignment horizontal="right" vertical="center"/>
    </xf>
    <xf numFmtId="4" fontId="3" fillId="2" borderId="1" xfId="1" applyNumberFormat="1" applyFont="1" applyFill="1" applyBorder="1" applyAlignment="1">
      <alignment horizontal="left" vertical="center" wrapText="1"/>
    </xf>
    <xf numFmtId="3" fontId="3" fillId="2" borderId="1" xfId="1" applyNumberFormat="1" applyFont="1" applyFill="1" applyBorder="1" applyAlignment="1">
      <alignment horizontal="left" vertical="center"/>
    </xf>
    <xf numFmtId="0" fontId="3" fillId="0" borderId="1" xfId="4" applyFont="1" applyFill="1" applyBorder="1" applyAlignment="1">
      <alignment vertical="center"/>
    </xf>
    <xf numFmtId="0" fontId="3" fillId="0" borderId="1" xfId="4" applyFont="1" applyFill="1" applyBorder="1" applyAlignment="1">
      <alignment horizontal="left" vertical="center"/>
    </xf>
    <xf numFmtId="4" fontId="2" fillId="6" borderId="1" xfId="1" applyNumberFormat="1" applyFont="1" applyFill="1" applyBorder="1" applyAlignment="1">
      <alignment horizontal="right" vertical="center"/>
    </xf>
    <xf numFmtId="0" fontId="3" fillId="6" borderId="1" xfId="4" applyFont="1" applyFill="1" applyBorder="1" applyAlignment="1">
      <alignment horizontal="justify" vertical="center" wrapText="1"/>
    </xf>
    <xf numFmtId="171" fontId="0" fillId="0" borderId="0" xfId="4" applyNumberFormat="1" applyFont="1" applyFill="1" applyBorder="1" applyAlignment="1" applyProtection="1"/>
    <xf numFmtId="0" fontId="3" fillId="6" borderId="1" xfId="4" applyFont="1" applyFill="1" applyBorder="1" applyAlignment="1">
      <alignment horizontal="justify" vertical="center"/>
    </xf>
    <xf numFmtId="0" fontId="3" fillId="0" borderId="1" xfId="4" applyFont="1" applyBorder="1" applyAlignment="1">
      <alignment horizontal="left" vertical="center" wrapText="1"/>
    </xf>
    <xf numFmtId="41" fontId="4" fillId="7" borderId="1" xfId="4" applyNumberFormat="1" applyFont="1" applyFill="1" applyBorder="1" applyAlignment="1" applyProtection="1">
      <alignment horizontal="center"/>
    </xf>
    <xf numFmtId="0" fontId="6" fillId="0" borderId="1" xfId="4" applyFont="1" applyBorder="1" applyAlignment="1">
      <alignment vertical="center"/>
    </xf>
    <xf numFmtId="3" fontId="12" fillId="0" borderId="1" xfId="4" applyNumberFormat="1" applyFont="1" applyFill="1" applyBorder="1"/>
    <xf numFmtId="3" fontId="10" fillId="0" borderId="1" xfId="4" applyNumberFormat="1" applyFont="1" applyFill="1" applyBorder="1" applyAlignment="1" applyProtection="1"/>
    <xf numFmtId="171" fontId="0" fillId="0" borderId="0" xfId="1" applyNumberFormat="1" applyFont="1" applyFill="1" applyBorder="1" applyAlignment="1" applyProtection="1"/>
    <xf numFmtId="171" fontId="11" fillId="0" borderId="0" xfId="1" applyNumberFormat="1" applyFont="1" applyFill="1" applyBorder="1" applyAlignment="1" applyProtection="1"/>
    <xf numFmtId="0" fontId="11" fillId="0" borderId="0" xfId="4" applyNumberFormat="1" applyFont="1" applyFill="1" applyBorder="1" applyAlignment="1" applyProtection="1"/>
    <xf numFmtId="171" fontId="27" fillId="0" borderId="0" xfId="4" applyNumberFormat="1" applyFont="1" applyFill="1" applyBorder="1" applyAlignment="1" applyProtection="1"/>
    <xf numFmtId="171" fontId="11" fillId="0" borderId="0" xfId="4" applyNumberFormat="1" applyFont="1" applyFill="1" applyBorder="1" applyAlignment="1" applyProtection="1"/>
    <xf numFmtId="0" fontId="3" fillId="0" borderId="0" xfId="4" applyFont="1" applyFill="1" applyBorder="1" applyAlignment="1">
      <alignment vertical="center" wrapText="1"/>
    </xf>
    <xf numFmtId="0" fontId="3" fillId="0" borderId="0" xfId="4" applyFont="1" applyFill="1" applyBorder="1" applyAlignment="1">
      <alignment vertical="center"/>
    </xf>
    <xf numFmtId="0" fontId="16" fillId="0" borderId="0" xfId="4" applyFont="1" applyFill="1" applyBorder="1" applyAlignment="1">
      <alignment horizontal="center" vertical="center" wrapText="1"/>
    </xf>
    <xf numFmtId="0" fontId="16" fillId="0" borderId="0" xfId="4" applyFont="1" applyFill="1" applyBorder="1" applyAlignment="1">
      <alignment horizontal="center" vertical="center"/>
    </xf>
    <xf numFmtId="0" fontId="2" fillId="0" borderId="0" xfId="4" applyFont="1" applyFill="1" applyBorder="1" applyAlignment="1">
      <alignment horizontal="center" vertical="center" wrapText="1"/>
    </xf>
    <xf numFmtId="0" fontId="2" fillId="0" borderId="0" xfId="4" applyFont="1" applyFill="1" applyBorder="1" applyAlignment="1">
      <alignment horizontal="center" vertical="center"/>
    </xf>
    <xf numFmtId="0" fontId="25" fillId="6" borderId="0" xfId="4" applyFont="1" applyFill="1" applyBorder="1" applyAlignment="1">
      <alignment horizontal="center" vertical="center" wrapText="1"/>
    </xf>
    <xf numFmtId="4" fontId="2" fillId="8" borderId="1" xfId="1" applyNumberFormat="1" applyFont="1" applyFill="1" applyBorder="1" applyAlignment="1">
      <alignment horizontal="center" vertical="center" wrapText="1"/>
    </xf>
    <xf numFmtId="4" fontId="17" fillId="3" borderId="1" xfId="1" applyNumberFormat="1" applyFont="1" applyFill="1" applyBorder="1" applyAlignment="1" applyProtection="1">
      <alignment horizontal="center" vertical="center" wrapText="1"/>
      <protection locked="0"/>
    </xf>
    <xf numFmtId="4" fontId="2" fillId="3" borderId="1" xfId="1" applyNumberFormat="1" applyFont="1" applyFill="1" applyBorder="1" applyAlignment="1">
      <alignment horizontal="center" vertical="center" wrapText="1"/>
    </xf>
    <xf numFmtId="3" fontId="2" fillId="0" borderId="1" xfId="4" applyNumberFormat="1" applyFont="1" applyFill="1" applyBorder="1" applyAlignment="1" applyProtection="1">
      <alignment horizontal="justify" vertical="center" wrapText="1"/>
    </xf>
    <xf numFmtId="4" fontId="3" fillId="0" borderId="0" xfId="4" applyNumberFormat="1" applyFont="1" applyFill="1" applyBorder="1" applyAlignment="1">
      <alignment vertical="center"/>
    </xf>
    <xf numFmtId="3" fontId="2" fillId="0" borderId="1" xfId="1" applyNumberFormat="1" applyFont="1" applyFill="1" applyBorder="1" applyAlignment="1" applyProtection="1">
      <alignment horizontal="justify" vertical="center" wrapText="1"/>
    </xf>
    <xf numFmtId="3" fontId="3" fillId="0" borderId="1" xfId="4" applyNumberFormat="1" applyFont="1" applyFill="1" applyBorder="1" applyAlignment="1" applyProtection="1">
      <alignment horizontal="justify" vertical="center" wrapText="1"/>
    </xf>
    <xf numFmtId="4" fontId="24" fillId="0" borderId="1" xfId="1" applyNumberFormat="1" applyFont="1" applyFill="1" applyBorder="1" applyAlignment="1" applyProtection="1">
      <alignment horizontal="right" vertical="center"/>
    </xf>
    <xf numFmtId="0" fontId="3" fillId="5" borderId="1" xfId="4" applyFont="1" applyFill="1" applyBorder="1" applyAlignment="1">
      <alignment horizontal="left" vertical="center" wrapText="1"/>
    </xf>
    <xf numFmtId="3" fontId="1" fillId="5" borderId="1" xfId="4" applyNumberFormat="1" applyFont="1" applyFill="1" applyBorder="1" applyAlignment="1" applyProtection="1">
      <alignment horizontal="justify" vertical="center" wrapText="1"/>
    </xf>
    <xf numFmtId="0" fontId="0" fillId="0" borderId="1" xfId="4" applyFont="1" applyFill="1" applyBorder="1" applyAlignment="1">
      <alignment horizontal="justify" vertical="center" wrapText="1"/>
    </xf>
    <xf numFmtId="0" fontId="3" fillId="9" borderId="0" xfId="4" applyFont="1" applyFill="1" applyBorder="1" applyAlignment="1">
      <alignment vertical="center" wrapText="1"/>
    </xf>
    <xf numFmtId="4" fontId="2" fillId="10" borderId="1" xfId="1" applyNumberFormat="1" applyFont="1" applyFill="1" applyBorder="1" applyAlignment="1" applyProtection="1">
      <alignment horizontal="right" vertical="center"/>
    </xf>
    <xf numFmtId="0" fontId="3" fillId="9" borderId="0" xfId="4" applyFont="1" applyFill="1" applyBorder="1" applyAlignment="1">
      <alignment vertical="center"/>
    </xf>
    <xf numFmtId="0" fontId="2" fillId="0" borderId="0" xfId="4" applyFont="1" applyFill="1" applyBorder="1" applyAlignment="1">
      <alignment vertical="center" wrapText="1"/>
    </xf>
    <xf numFmtId="0" fontId="2" fillId="3" borderId="1" xfId="4" applyFont="1" applyFill="1" applyBorder="1" applyAlignment="1">
      <alignment horizontal="left" vertical="center" wrapText="1"/>
    </xf>
    <xf numFmtId="0" fontId="2" fillId="0" borderId="0" xfId="4" applyFont="1" applyFill="1" applyBorder="1" applyAlignment="1">
      <alignment vertical="center"/>
    </xf>
    <xf numFmtId="2" fontId="3" fillId="0" borderId="0" xfId="4" applyNumberFormat="1" applyFont="1" applyFill="1" applyBorder="1" applyAlignment="1">
      <alignment vertical="center"/>
    </xf>
    <xf numFmtId="4" fontId="2" fillId="0" borderId="0" xfId="4" applyNumberFormat="1" applyFont="1" applyFill="1" applyBorder="1" applyAlignment="1">
      <alignment vertical="center"/>
    </xf>
    <xf numFmtId="4" fontId="6" fillId="0" borderId="1" xfId="1" applyNumberFormat="1" applyFont="1" applyFill="1" applyBorder="1" applyAlignment="1">
      <alignment horizontal="right" vertical="center"/>
    </xf>
    <xf numFmtId="1" fontId="3" fillId="0" borderId="0" xfId="4" applyNumberFormat="1" applyFont="1" applyFill="1" applyBorder="1" applyAlignment="1">
      <alignment vertical="center"/>
    </xf>
    <xf numFmtId="4" fontId="26" fillId="0" borderId="1" xfId="1" applyNumberFormat="1" applyFont="1" applyFill="1" applyBorder="1" applyAlignment="1">
      <alignment horizontal="right" vertical="center"/>
    </xf>
    <xf numFmtId="4" fontId="6" fillId="4" borderId="1" xfId="1" applyNumberFormat="1" applyFont="1" applyFill="1" applyBorder="1" applyAlignment="1">
      <alignment horizontal="right" vertical="center"/>
    </xf>
    <xf numFmtId="168" fontId="3" fillId="0" borderId="1" xfId="4" applyNumberFormat="1" applyFont="1" applyFill="1" applyBorder="1" applyAlignment="1">
      <alignment horizontal="left" vertical="center"/>
    </xf>
    <xf numFmtId="4" fontId="3" fillId="0" borderId="2" xfId="1" applyNumberFormat="1" applyFont="1" applyFill="1" applyBorder="1" applyAlignment="1">
      <alignment vertical="center"/>
    </xf>
    <xf numFmtId="0" fontId="3" fillId="0" borderId="3" xfId="4" applyFont="1" applyFill="1" applyBorder="1" applyAlignment="1">
      <alignment horizontal="left" vertical="center" wrapText="1"/>
    </xf>
    <xf numFmtId="0" fontId="3" fillId="0" borderId="3" xfId="4" applyFont="1" applyFill="1" applyBorder="1" applyAlignment="1">
      <alignment horizontal="justify" vertical="center" wrapText="1"/>
    </xf>
    <xf numFmtId="4" fontId="4" fillId="0" borderId="3" xfId="1" applyNumberFormat="1" applyFont="1" applyFill="1" applyBorder="1" applyAlignment="1" applyProtection="1">
      <alignment horizontal="right" vertical="center"/>
    </xf>
    <xf numFmtId="4" fontId="3" fillId="0" borderId="3" xfId="1" applyNumberFormat="1" applyFont="1" applyFill="1" applyBorder="1" applyAlignment="1">
      <alignment horizontal="right" vertical="center"/>
    </xf>
    <xf numFmtId="0" fontId="3" fillId="0" borderId="0" xfId="4" applyFont="1" applyFill="1" applyBorder="1" applyAlignment="1">
      <alignment horizontal="left" vertical="center" wrapText="1"/>
    </xf>
    <xf numFmtId="0" fontId="2" fillId="11" borderId="0" xfId="4" applyFont="1" applyFill="1" applyBorder="1" applyAlignment="1">
      <alignment horizontal="justify" vertical="center" wrapText="1"/>
    </xf>
    <xf numFmtId="4" fontId="2" fillId="11" borderId="0" xfId="1" applyNumberFormat="1" applyFont="1" applyFill="1" applyBorder="1" applyAlignment="1">
      <alignment horizontal="right" vertical="center"/>
    </xf>
    <xf numFmtId="4" fontId="3" fillId="0" borderId="0" xfId="1" applyNumberFormat="1" applyFont="1" applyFill="1" applyBorder="1" applyAlignment="1">
      <alignment horizontal="right" vertical="center"/>
    </xf>
    <xf numFmtId="169" fontId="3" fillId="0" borderId="0" xfId="1" applyFont="1" applyFill="1" applyBorder="1" applyAlignment="1">
      <alignment vertical="center" wrapText="1"/>
    </xf>
    <xf numFmtId="169" fontId="3" fillId="0" borderId="0" xfId="1" applyFont="1" applyFill="1" applyBorder="1" applyAlignment="1">
      <alignment horizontal="left" vertical="center" wrapText="1"/>
    </xf>
    <xf numFmtId="169" fontId="2" fillId="11" borderId="0" xfId="1" applyFont="1" applyFill="1" applyBorder="1" applyAlignment="1">
      <alignment horizontal="justify" vertical="center"/>
    </xf>
    <xf numFmtId="169" fontId="3" fillId="0" borderId="0" xfId="1" applyFont="1" applyFill="1" applyBorder="1" applyAlignment="1">
      <alignment vertical="center"/>
    </xf>
    <xf numFmtId="0" fontId="3" fillId="0" borderId="0" xfId="4" applyFont="1" applyFill="1" applyBorder="1" applyAlignment="1">
      <alignment horizontal="justify" vertical="center" wrapText="1"/>
    </xf>
    <xf numFmtId="4" fontId="26" fillId="0" borderId="0" xfId="1" applyNumberFormat="1" applyFont="1" applyFill="1" applyBorder="1" applyAlignment="1">
      <alignment vertical="center" wrapText="1"/>
    </xf>
    <xf numFmtId="4" fontId="26" fillId="0" borderId="0" xfId="1" applyNumberFormat="1" applyFont="1" applyFill="1" applyBorder="1" applyAlignment="1">
      <alignment horizontal="right" vertical="center"/>
    </xf>
    <xf numFmtId="4" fontId="3" fillId="6" borderId="0" xfId="1" applyNumberFormat="1" applyFont="1" applyFill="1" applyBorder="1" applyAlignment="1">
      <alignment horizontal="center" vertical="center" wrapText="1"/>
    </xf>
    <xf numFmtId="10" fontId="3" fillId="0" borderId="0" xfId="1" applyNumberFormat="1" applyFont="1" applyFill="1" applyBorder="1" applyAlignment="1">
      <alignment horizontal="right" vertical="center"/>
    </xf>
    <xf numFmtId="4" fontId="3" fillId="0" borderId="0" xfId="1" applyNumberFormat="1" applyFont="1" applyFill="1" applyBorder="1" applyAlignment="1">
      <alignment vertical="center" wrapText="1"/>
    </xf>
    <xf numFmtId="4" fontId="5" fillId="0" borderId="0" xfId="1" applyNumberFormat="1" applyFont="1" applyFill="1" applyBorder="1" applyAlignment="1">
      <alignment horizontal="right" vertical="center"/>
    </xf>
    <xf numFmtId="4" fontId="3" fillId="0" borderId="0" xfId="1" applyNumberFormat="1" applyFont="1" applyFill="1" applyBorder="1" applyAlignment="1">
      <alignment horizontal="left" vertical="center"/>
    </xf>
    <xf numFmtId="0" fontId="2" fillId="0" borderId="0" xfId="4" applyFont="1" applyFill="1" applyBorder="1" applyAlignment="1">
      <alignment horizontal="justify" vertical="center" wrapText="1"/>
    </xf>
    <xf numFmtId="0" fontId="3" fillId="0" borderId="0" xfId="4" applyFont="1" applyFill="1" applyBorder="1" applyAlignment="1">
      <alignment horizontal="justify" vertical="top" wrapText="1"/>
    </xf>
    <xf numFmtId="4" fontId="2" fillId="2" borderId="0" xfId="1" applyNumberFormat="1" applyFont="1" applyFill="1" applyBorder="1" applyAlignment="1">
      <alignment horizontal="right" vertical="center"/>
    </xf>
    <xf numFmtId="170" fontId="3" fillId="2" borderId="0" xfId="1" applyNumberFormat="1" applyFont="1" applyFill="1" applyBorder="1" applyAlignment="1">
      <alignment vertical="center"/>
    </xf>
    <xf numFmtId="0" fontId="0" fillId="0" borderId="0" xfId="4" applyNumberFormat="1" applyFont="1" applyFill="1" applyBorder="1" applyAlignment="1" applyProtection="1">
      <alignment wrapText="1"/>
    </xf>
    <xf numFmtId="0" fontId="3" fillId="6" borderId="0" xfId="4" applyFont="1" applyFill="1" applyBorder="1" applyAlignment="1">
      <alignment vertical="center"/>
    </xf>
    <xf numFmtId="4" fontId="2" fillId="2" borderId="1" xfId="1" applyNumberFormat="1" applyFont="1" applyFill="1" applyBorder="1" applyAlignment="1">
      <alignment horizontal="center" vertical="center"/>
    </xf>
    <xf numFmtId="169" fontId="3" fillId="2" borderId="1" xfId="1" applyFont="1" applyFill="1" applyBorder="1" applyAlignment="1">
      <alignment horizontal="right" vertical="center" wrapText="1"/>
    </xf>
    <xf numFmtId="0" fontId="2" fillId="2" borderId="1" xfId="4" applyFont="1" applyFill="1" applyBorder="1" applyAlignment="1">
      <alignment horizontal="justify" vertical="top" wrapText="1"/>
    </xf>
    <xf numFmtId="4" fontId="3" fillId="2" borderId="0" xfId="1" applyNumberFormat="1" applyFont="1" applyFill="1" applyBorder="1" applyAlignment="1">
      <alignment horizontal="left" vertical="center"/>
    </xf>
    <xf numFmtId="4" fontId="2" fillId="2" borderId="0" xfId="1" applyNumberFormat="1" applyFont="1" applyFill="1" applyBorder="1" applyAlignment="1">
      <alignment horizontal="left" vertical="center"/>
    </xf>
    <xf numFmtId="169" fontId="2" fillId="2" borderId="0" xfId="1" applyFont="1" applyFill="1" applyBorder="1" applyAlignment="1">
      <alignment vertical="center"/>
    </xf>
    <xf numFmtId="0" fontId="2" fillId="4" borderId="1" xfId="4" applyFont="1" applyFill="1" applyBorder="1" applyAlignment="1">
      <alignment vertical="center"/>
    </xf>
    <xf numFmtId="0" fontId="2" fillId="4" borderId="1" xfId="4" applyFont="1" applyFill="1" applyBorder="1" applyAlignment="1">
      <alignment horizontal="justify" vertical="center"/>
    </xf>
    <xf numFmtId="169" fontId="2" fillId="4" borderId="1" xfId="1" applyFont="1" applyFill="1" applyBorder="1" applyAlignment="1">
      <alignment horizontal="justify" vertical="center"/>
    </xf>
    <xf numFmtId="0" fontId="0" fillId="2" borderId="0" xfId="4" applyFont="1" applyFill="1"/>
    <xf numFmtId="4" fontId="2" fillId="4" borderId="0" xfId="1" applyNumberFormat="1" applyFont="1" applyFill="1" applyBorder="1" applyAlignment="1">
      <alignment horizontal="justify" vertical="center"/>
    </xf>
    <xf numFmtId="0" fontId="26" fillId="2" borderId="1" xfId="4" applyFont="1" applyFill="1" applyBorder="1" applyAlignment="1">
      <alignment horizontal="justify" vertical="center" wrapText="1"/>
    </xf>
    <xf numFmtId="0" fontId="1" fillId="4" borderId="0" xfId="4" applyFont="1" applyFill="1" applyAlignment="1">
      <alignment horizontal="justify" vertical="center"/>
    </xf>
    <xf numFmtId="0" fontId="3" fillId="12" borderId="5" xfId="4" applyFont="1" applyFill="1" applyBorder="1" applyAlignment="1">
      <alignment horizontal="justify" vertical="center" wrapText="1"/>
    </xf>
    <xf numFmtId="0" fontId="1" fillId="4" borderId="1" xfId="4" applyFont="1" applyFill="1" applyBorder="1" applyAlignment="1">
      <alignment horizontal="justify" vertical="center" wrapText="1"/>
    </xf>
    <xf numFmtId="4" fontId="4" fillId="2" borderId="1" xfId="1" applyNumberFormat="1" applyFont="1" applyFill="1" applyBorder="1" applyAlignment="1" applyProtection="1">
      <alignment horizontal="justify" vertical="center"/>
    </xf>
    <xf numFmtId="4" fontId="3" fillId="2" borderId="1" xfId="1" applyNumberFormat="1" applyFont="1" applyFill="1" applyBorder="1" applyAlignment="1">
      <alignment horizontal="justify" vertical="center" wrapText="1"/>
    </xf>
    <xf numFmtId="4" fontId="2" fillId="2" borderId="1" xfId="1" applyNumberFormat="1" applyFont="1" applyFill="1" applyBorder="1" applyAlignment="1">
      <alignment horizontal="justify" vertical="center"/>
    </xf>
    <xf numFmtId="4" fontId="2" fillId="4" borderId="1" xfId="1" applyNumberFormat="1" applyFont="1" applyFill="1" applyBorder="1" applyAlignment="1">
      <alignment horizontal="justify" vertical="center"/>
    </xf>
    <xf numFmtId="4" fontId="2" fillId="4" borderId="1" xfId="1" applyNumberFormat="1" applyFont="1" applyFill="1" applyBorder="1" applyAlignment="1">
      <alignment horizontal="justify" vertical="center" wrapText="1"/>
    </xf>
    <xf numFmtId="0" fontId="26" fillId="2" borderId="6" xfId="4" applyFont="1" applyFill="1" applyBorder="1" applyAlignment="1">
      <alignment horizontal="justify" vertical="center" wrapText="1"/>
    </xf>
    <xf numFmtId="4" fontId="3" fillId="4" borderId="1" xfId="1" applyNumberFormat="1" applyFont="1" applyFill="1" applyBorder="1" applyAlignment="1">
      <alignment horizontal="justify" vertical="center"/>
    </xf>
    <xf numFmtId="0" fontId="2" fillId="2" borderId="6" xfId="4" applyFont="1" applyFill="1" applyBorder="1" applyAlignment="1">
      <alignment horizontal="justify" vertical="center" wrapText="1"/>
    </xf>
    <xf numFmtId="3" fontId="3" fillId="2" borderId="1" xfId="1" applyNumberFormat="1" applyFont="1" applyFill="1" applyBorder="1" applyAlignment="1">
      <alignment horizontal="justify" vertical="center"/>
    </xf>
    <xf numFmtId="4" fontId="3" fillId="2" borderId="1" xfId="1" applyNumberFormat="1" applyFont="1" applyFill="1" applyBorder="1" applyAlignment="1">
      <alignment horizontal="justify" vertical="center"/>
    </xf>
    <xf numFmtId="4" fontId="3" fillId="2" borderId="4" xfId="1" applyNumberFormat="1" applyFont="1" applyFill="1" applyBorder="1" applyAlignment="1">
      <alignment horizontal="justify" vertical="center"/>
    </xf>
    <xf numFmtId="0" fontId="3" fillId="2" borderId="0" xfId="4" applyFont="1" applyFill="1" applyBorder="1" applyAlignment="1">
      <alignment horizontal="justify" vertical="center" wrapText="1"/>
    </xf>
    <xf numFmtId="4" fontId="3" fillId="2" borderId="0" xfId="1" applyNumberFormat="1" applyFont="1" applyFill="1" applyBorder="1" applyAlignment="1">
      <alignment horizontal="justify" vertical="center"/>
    </xf>
    <xf numFmtId="0" fontId="26" fillId="2" borderId="4" xfId="4" applyFont="1" applyFill="1" applyBorder="1" applyAlignment="1">
      <alignment horizontal="justify" vertical="center" wrapText="1"/>
    </xf>
    <xf numFmtId="0" fontId="2" fillId="4" borderId="0" xfId="4" applyFont="1" applyFill="1" applyBorder="1" applyAlignment="1">
      <alignment horizontal="justify" vertical="center" wrapText="1"/>
    </xf>
    <xf numFmtId="0" fontId="28" fillId="0" borderId="1" xfId="4" applyFont="1" applyBorder="1" applyAlignment="1">
      <alignment horizontal="justify" vertical="center" wrapText="1"/>
    </xf>
    <xf numFmtId="4" fontId="3" fillId="13" borderId="1" xfId="1" applyNumberFormat="1" applyFont="1" applyFill="1" applyBorder="1" applyAlignment="1">
      <alignment horizontal="justify" vertical="center"/>
    </xf>
    <xf numFmtId="0" fontId="3" fillId="2" borderId="7" xfId="4" applyFont="1" applyFill="1" applyBorder="1" applyAlignment="1">
      <alignment vertical="center"/>
    </xf>
    <xf numFmtId="0" fontId="3" fillId="2" borderId="6" xfId="4" applyFont="1" applyFill="1" applyBorder="1" applyAlignment="1">
      <alignment vertical="center"/>
    </xf>
    <xf numFmtId="169" fontId="2" fillId="4" borderId="1" xfId="1" applyFont="1" applyFill="1" applyBorder="1" applyAlignment="1">
      <alignment horizontal="right" vertical="center"/>
    </xf>
    <xf numFmtId="0" fontId="3" fillId="2" borderId="4" xfId="4" applyFont="1" applyFill="1" applyBorder="1" applyAlignment="1">
      <alignment horizontal="justify" vertical="center"/>
    </xf>
    <xf numFmtId="0" fontId="3" fillId="2" borderId="8" xfId="4" applyFont="1" applyFill="1" applyBorder="1" applyAlignment="1">
      <alignment horizontal="justify" vertical="center"/>
    </xf>
    <xf numFmtId="0" fontId="2" fillId="4" borderId="4" xfId="4" applyFont="1" applyFill="1" applyBorder="1" applyAlignment="1">
      <alignment horizontal="justify" vertical="center"/>
    </xf>
    <xf numFmtId="0" fontId="24" fillId="2" borderId="1" xfId="4" applyFont="1" applyFill="1" applyBorder="1" applyAlignment="1">
      <alignment vertical="center" wrapText="1"/>
    </xf>
    <xf numFmtId="4" fontId="14" fillId="2" borderId="1" xfId="1" applyNumberFormat="1" applyFont="1" applyFill="1" applyBorder="1" applyAlignment="1" applyProtection="1">
      <alignment horizontal="justify" vertical="center"/>
    </xf>
    <xf numFmtId="0" fontId="3" fillId="2" borderId="0" xfId="4" applyFont="1" applyFill="1"/>
    <xf numFmtId="169" fontId="3" fillId="2" borderId="1" xfId="1" applyFont="1" applyFill="1" applyBorder="1" applyAlignment="1">
      <alignment horizontal="justify" vertical="center"/>
    </xf>
    <xf numFmtId="0" fontId="3" fillId="2" borderId="0" xfId="4" applyFont="1" applyFill="1" applyBorder="1" applyAlignment="1">
      <alignment vertical="center" wrapText="1"/>
    </xf>
    <xf numFmtId="0" fontId="2" fillId="4" borderId="5" xfId="4" applyFont="1" applyFill="1" applyBorder="1" applyAlignment="1">
      <alignment horizontal="justify" vertical="center" wrapText="1"/>
    </xf>
    <xf numFmtId="0" fontId="2" fillId="4" borderId="1" xfId="4" applyFont="1" applyFill="1" applyBorder="1" applyAlignment="1">
      <alignment horizontal="left" vertical="center"/>
    </xf>
    <xf numFmtId="0" fontId="3" fillId="0" borderId="7" xfId="4" applyFont="1" applyBorder="1" applyAlignment="1">
      <alignment horizontal="left" vertical="center" wrapText="1"/>
    </xf>
    <xf numFmtId="0" fontId="3" fillId="2" borderId="1" xfId="4" applyFont="1" applyFill="1" applyBorder="1" applyAlignment="1">
      <alignment horizontal="left" vertical="center"/>
    </xf>
    <xf numFmtId="0" fontId="2" fillId="4" borderId="4" xfId="4" applyFont="1" applyFill="1" applyBorder="1" applyAlignment="1">
      <alignment horizontal="left" vertical="center"/>
    </xf>
    <xf numFmtId="0" fontId="24" fillId="2" borderId="1" xfId="4" applyFont="1" applyFill="1" applyBorder="1" applyAlignment="1">
      <alignment horizontal="left" vertical="center" wrapText="1"/>
    </xf>
    <xf numFmtId="0" fontId="3" fillId="6" borderId="1" xfId="4" applyFont="1" applyFill="1" applyBorder="1" applyAlignment="1">
      <alignment horizontal="left" vertical="center"/>
    </xf>
    <xf numFmtId="3" fontId="2" fillId="4" borderId="1" xfId="1" applyNumberFormat="1" applyFont="1" applyFill="1" applyBorder="1" applyAlignment="1">
      <alignment horizontal="left" vertical="center"/>
    </xf>
    <xf numFmtId="4" fontId="2" fillId="4" borderId="1" xfId="1" applyNumberFormat="1" applyFont="1" applyFill="1" applyBorder="1" applyAlignment="1">
      <alignment horizontal="left" vertical="center"/>
    </xf>
    <xf numFmtId="4" fontId="3" fillId="4" borderId="1" xfId="1" applyNumberFormat="1" applyFont="1" applyFill="1" applyBorder="1" applyAlignment="1">
      <alignment horizontal="left" vertical="center"/>
    </xf>
    <xf numFmtId="4" fontId="3" fillId="2" borderId="1" xfId="1" applyNumberFormat="1" applyFont="1" applyFill="1" applyBorder="1" applyAlignment="1">
      <alignment horizontal="left" vertical="center"/>
    </xf>
    <xf numFmtId="0" fontId="3" fillId="2" borderId="1" xfId="4" applyFont="1" applyFill="1" applyBorder="1" applyAlignment="1">
      <alignment horizontal="left"/>
    </xf>
    <xf numFmtId="4" fontId="2" fillId="4" borderId="0" xfId="1" applyNumberFormat="1" applyFont="1" applyFill="1" applyBorder="1" applyAlignment="1">
      <alignment horizontal="left" vertical="center"/>
    </xf>
    <xf numFmtId="0" fontId="3" fillId="4" borderId="1" xfId="4" applyFont="1" applyFill="1" applyBorder="1" applyAlignment="1">
      <alignment horizontal="left" vertical="center"/>
    </xf>
    <xf numFmtId="0" fontId="3" fillId="2" borderId="1" xfId="4" applyFont="1" applyFill="1" applyBorder="1" applyAlignment="1">
      <alignment horizontal="right" vertical="center" wrapText="1"/>
    </xf>
    <xf numFmtId="0" fontId="29" fillId="0" borderId="0" xfId="4" applyFont="1" applyBorder="1" applyAlignment="1">
      <alignment horizontal="center" wrapText="1"/>
    </xf>
    <xf numFmtId="0" fontId="3" fillId="6" borderId="1" xfId="4" applyFont="1" applyFill="1" applyBorder="1" applyAlignment="1">
      <alignment horizontal="left" vertical="center" wrapText="1"/>
    </xf>
    <xf numFmtId="0" fontId="29" fillId="0" borderId="0" xfId="4" applyFont="1" applyBorder="1" applyAlignment="1">
      <alignment wrapText="1"/>
    </xf>
    <xf numFmtId="0" fontId="25" fillId="2" borderId="0" xfId="4" applyFont="1" applyFill="1" applyBorder="1" applyAlignment="1">
      <alignment vertical="center"/>
    </xf>
    <xf numFmtId="169" fontId="3" fillId="0" borderId="1" xfId="1" applyFont="1" applyFill="1" applyBorder="1" applyAlignment="1">
      <alignment horizontal="right" vertical="center"/>
    </xf>
    <xf numFmtId="169" fontId="3" fillId="6" borderId="1" xfId="1" applyFont="1" applyFill="1" applyBorder="1" applyAlignment="1">
      <alignment horizontal="right" vertical="center"/>
    </xf>
    <xf numFmtId="169" fontId="26" fillId="2" borderId="1" xfId="1" applyFont="1" applyFill="1" applyBorder="1" applyAlignment="1">
      <alignment horizontal="right" vertical="center"/>
    </xf>
    <xf numFmtId="169" fontId="3" fillId="4" borderId="1" xfId="1" applyFont="1" applyFill="1" applyBorder="1" applyAlignment="1">
      <alignment horizontal="right" vertical="center"/>
    </xf>
    <xf numFmtId="170" fontId="3" fillId="2" borderId="1" xfId="1" applyNumberFormat="1" applyFont="1" applyFill="1" applyBorder="1" applyAlignment="1">
      <alignment horizontal="right" vertical="center" wrapText="1"/>
    </xf>
    <xf numFmtId="0" fontId="15" fillId="0" borderId="0" xfId="4" applyFont="1" applyAlignment="1">
      <alignment horizontal="justify" vertical="center"/>
    </xf>
    <xf numFmtId="169" fontId="3" fillId="2" borderId="1" xfId="1" applyFont="1" applyFill="1" applyBorder="1" applyAlignment="1">
      <alignment horizontal="justify" vertical="center" wrapText="1"/>
    </xf>
    <xf numFmtId="169" fontId="25" fillId="2" borderId="1" xfId="1" applyFont="1" applyFill="1" applyBorder="1" applyAlignment="1">
      <alignment horizontal="right" vertical="center"/>
    </xf>
    <xf numFmtId="169" fontId="26" fillId="2" borderId="0" xfId="1" applyFont="1" applyFill="1" applyBorder="1" applyAlignment="1">
      <alignment horizontal="right" vertical="center"/>
    </xf>
    <xf numFmtId="169" fontId="3" fillId="6" borderId="1" xfId="1" applyFont="1" applyFill="1" applyBorder="1" applyAlignment="1">
      <alignment horizontal="right" vertical="center" wrapText="1"/>
    </xf>
    <xf numFmtId="169" fontId="3" fillId="2" borderId="0" xfId="1" applyFont="1" applyFill="1" applyBorder="1" applyAlignment="1">
      <alignment horizontal="right" vertical="center"/>
    </xf>
    <xf numFmtId="169" fontId="3" fillId="2" borderId="1" xfId="1" applyFont="1" applyFill="1" applyBorder="1" applyAlignment="1">
      <alignment horizontal="right"/>
    </xf>
    <xf numFmtId="169" fontId="2" fillId="4" borderId="4" xfId="1" applyFont="1" applyFill="1" applyBorder="1" applyAlignment="1">
      <alignment horizontal="right" vertical="center"/>
    </xf>
    <xf numFmtId="169" fontId="24" fillId="0" borderId="1" xfId="1" applyFont="1" applyFill="1" applyBorder="1" applyAlignment="1">
      <alignment horizontal="right" vertical="center"/>
    </xf>
    <xf numFmtId="169" fontId="2" fillId="0" borderId="1" xfId="1" applyFont="1" applyFill="1" applyBorder="1" applyAlignment="1">
      <alignment horizontal="right" vertical="center"/>
    </xf>
    <xf numFmtId="169" fontId="2" fillId="2" borderId="0" xfId="1" applyFont="1" applyFill="1" applyBorder="1" applyAlignment="1">
      <alignment horizontal="right" vertical="center"/>
    </xf>
    <xf numFmtId="0" fontId="3" fillId="4" borderId="4" xfId="4" applyFont="1" applyFill="1" applyBorder="1" applyAlignment="1">
      <alignment horizontal="justify" vertical="center"/>
    </xf>
    <xf numFmtId="0" fontId="3" fillId="4" borderId="7" xfId="4" applyFont="1" applyFill="1" applyBorder="1" applyAlignment="1">
      <alignment vertical="center" wrapText="1"/>
    </xf>
    <xf numFmtId="0" fontId="3" fillId="4" borderId="4" xfId="4" applyFont="1" applyFill="1" applyBorder="1" applyAlignment="1">
      <alignment horizontal="justify" vertical="center" wrapText="1"/>
    </xf>
    <xf numFmtId="4" fontId="3" fillId="4" borderId="4" xfId="1" applyNumberFormat="1" applyFont="1" applyFill="1" applyBorder="1" applyAlignment="1">
      <alignment horizontal="justify" vertical="center"/>
    </xf>
    <xf numFmtId="0" fontId="3" fillId="4" borderId="4" xfId="4" applyFont="1" applyFill="1" applyBorder="1" applyAlignment="1">
      <alignment horizontal="left" vertical="center"/>
    </xf>
    <xf numFmtId="169" fontId="3" fillId="4" borderId="7" xfId="1" applyFont="1" applyFill="1" applyBorder="1" applyAlignment="1">
      <alignment horizontal="right" vertical="center"/>
    </xf>
    <xf numFmtId="0" fontId="2" fillId="2" borderId="1" xfId="4" applyFont="1" applyFill="1" applyBorder="1" applyAlignment="1">
      <alignment horizontal="justify" vertical="center"/>
    </xf>
    <xf numFmtId="0" fontId="25" fillId="4" borderId="1" xfId="4" applyFont="1" applyFill="1" applyBorder="1" applyAlignment="1">
      <alignment horizontal="justify" vertical="center"/>
    </xf>
    <xf numFmtId="0" fontId="3" fillId="14" borderId="1" xfId="4" applyFont="1" applyFill="1" applyBorder="1" applyAlignment="1">
      <alignment horizontal="justify" vertical="center" wrapText="1"/>
    </xf>
    <xf numFmtId="0" fontId="3" fillId="0" borderId="7" xfId="4" applyFont="1" applyBorder="1" applyAlignment="1">
      <alignment horizontal="right" vertical="center" wrapText="1"/>
    </xf>
    <xf numFmtId="0" fontId="3" fillId="0" borderId="7" xfId="4" applyFont="1" applyBorder="1" applyAlignment="1">
      <alignment horizontal="right" vertical="center"/>
    </xf>
    <xf numFmtId="1" fontId="3" fillId="2" borderId="1" xfId="4" applyNumberFormat="1" applyFont="1" applyFill="1" applyBorder="1" applyAlignment="1">
      <alignment horizontal="right" vertical="center" wrapText="1"/>
    </xf>
    <xf numFmtId="1" fontId="3" fillId="2" borderId="1" xfId="1" applyNumberFormat="1" applyFont="1" applyFill="1" applyBorder="1" applyAlignment="1">
      <alignment horizontal="right" vertical="center" wrapText="1"/>
    </xf>
    <xf numFmtId="1" fontId="2" fillId="4" borderId="1" xfId="4" applyNumberFormat="1" applyFont="1" applyFill="1" applyBorder="1" applyAlignment="1">
      <alignment horizontal="right" vertical="center"/>
    </xf>
    <xf numFmtId="1" fontId="2" fillId="4" borderId="1" xfId="1" applyNumberFormat="1" applyFont="1" applyFill="1" applyBorder="1" applyAlignment="1">
      <alignment horizontal="right" vertical="center"/>
    </xf>
    <xf numFmtId="1" fontId="3" fillId="2" borderId="1" xfId="4" applyNumberFormat="1" applyFont="1" applyFill="1" applyBorder="1" applyAlignment="1">
      <alignment horizontal="right" vertical="center"/>
    </xf>
    <xf numFmtId="1" fontId="3" fillId="6" borderId="1" xfId="1" applyNumberFormat="1" applyFont="1" applyFill="1" applyBorder="1" applyAlignment="1">
      <alignment horizontal="right" vertical="center" wrapText="1"/>
    </xf>
    <xf numFmtId="1" fontId="3" fillId="2" borderId="5" xfId="4" applyNumberFormat="1" applyFont="1" applyFill="1" applyBorder="1" applyAlignment="1">
      <alignment horizontal="right" vertical="center"/>
    </xf>
    <xf numFmtId="1" fontId="3" fillId="2" borderId="1" xfId="1" applyNumberFormat="1" applyFont="1" applyFill="1" applyBorder="1" applyAlignment="1">
      <alignment horizontal="right" vertical="center"/>
    </xf>
    <xf numFmtId="1" fontId="3" fillId="0" borderId="7" xfId="4" applyNumberFormat="1" applyFont="1" applyBorder="1" applyAlignment="1">
      <alignment horizontal="right" vertical="center" wrapText="1"/>
    </xf>
    <xf numFmtId="1" fontId="3" fillId="0" borderId="7" xfId="4" applyNumberFormat="1" applyFont="1" applyBorder="1" applyAlignment="1">
      <alignment horizontal="right" vertical="center"/>
    </xf>
    <xf numFmtId="1" fontId="3" fillId="4" borderId="1" xfId="4" applyNumberFormat="1" applyFont="1" applyFill="1" applyBorder="1" applyAlignment="1">
      <alignment horizontal="right" vertical="center"/>
    </xf>
    <xf numFmtId="1" fontId="3" fillId="4" borderId="1" xfId="1" applyNumberFormat="1" applyFont="1" applyFill="1" applyBorder="1" applyAlignment="1">
      <alignment horizontal="right" vertical="center"/>
    </xf>
    <xf numFmtId="1" fontId="3" fillId="6" borderId="1" xfId="1" applyNumberFormat="1" applyFont="1" applyFill="1" applyBorder="1" applyAlignment="1">
      <alignment horizontal="right" vertical="center"/>
    </xf>
    <xf numFmtId="1" fontId="3" fillId="0" borderId="1" xfId="4" applyNumberFormat="1" applyFont="1" applyFill="1" applyBorder="1" applyAlignment="1">
      <alignment horizontal="right" vertical="center"/>
    </xf>
    <xf numFmtId="1" fontId="26" fillId="2" borderId="1" xfId="1" applyNumberFormat="1" applyFont="1" applyFill="1" applyBorder="1" applyAlignment="1">
      <alignment horizontal="right" vertical="center"/>
    </xf>
    <xf numFmtId="1" fontId="26" fillId="2" borderId="1" xfId="4" applyNumberFormat="1" applyFont="1" applyFill="1" applyBorder="1" applyAlignment="1">
      <alignment horizontal="right" vertical="center"/>
    </xf>
    <xf numFmtId="1" fontId="3" fillId="0" borderId="1" xfId="4" applyNumberFormat="1" applyFont="1" applyFill="1" applyBorder="1" applyAlignment="1">
      <alignment horizontal="right" vertical="center" wrapText="1"/>
    </xf>
    <xf numFmtId="1" fontId="26" fillId="6" borderId="1" xfId="1" applyNumberFormat="1" applyFont="1" applyFill="1" applyBorder="1" applyAlignment="1">
      <alignment horizontal="right" vertical="center" wrapText="1"/>
    </xf>
    <xf numFmtId="1" fontId="26" fillId="6" borderId="1" xfId="1" applyNumberFormat="1" applyFont="1" applyFill="1" applyBorder="1" applyAlignment="1">
      <alignment horizontal="right" vertical="center"/>
    </xf>
    <xf numFmtId="1" fontId="2" fillId="2" borderId="1" xfId="1" applyNumberFormat="1" applyFont="1" applyFill="1" applyBorder="1" applyAlignment="1">
      <alignment horizontal="right" vertical="center"/>
    </xf>
    <xf numFmtId="1" fontId="3" fillId="0" borderId="1" xfId="1" applyNumberFormat="1" applyFont="1" applyBorder="1" applyAlignment="1">
      <alignment horizontal="right" vertical="center" wrapText="1"/>
    </xf>
    <xf numFmtId="1" fontId="2" fillId="4" borderId="0" xfId="1" applyNumberFormat="1" applyFont="1" applyFill="1" applyBorder="1" applyAlignment="1">
      <alignment horizontal="right" vertical="center"/>
    </xf>
    <xf numFmtId="1" fontId="26" fillId="6" borderId="1" xfId="4" applyNumberFormat="1" applyFont="1" applyFill="1" applyBorder="1" applyAlignment="1">
      <alignment horizontal="right" vertical="center"/>
    </xf>
    <xf numFmtId="1" fontId="3" fillId="14" borderId="1" xfId="4" applyNumberFormat="1" applyFont="1" applyFill="1" applyBorder="1" applyAlignment="1">
      <alignment horizontal="right" vertical="center" wrapText="1"/>
    </xf>
    <xf numFmtId="0" fontId="3" fillId="6" borderId="7" xfId="4" applyFont="1" applyFill="1" applyBorder="1" applyAlignment="1">
      <alignment horizontal="left" vertical="center" wrapText="1"/>
    </xf>
    <xf numFmtId="1" fontId="3" fillId="15" borderId="1" xfId="4" applyNumberFormat="1" applyFont="1" applyFill="1" applyBorder="1" applyAlignment="1">
      <alignment horizontal="right" vertical="center" wrapText="1"/>
    </xf>
    <xf numFmtId="0" fontId="3" fillId="2" borderId="7" xfId="4" applyFont="1" applyFill="1" applyBorder="1" applyAlignment="1">
      <alignment horizontal="justify" vertical="center" wrapText="1"/>
    </xf>
    <xf numFmtId="170" fontId="2" fillId="2" borderId="0" xfId="1" applyNumberFormat="1" applyFont="1" applyFill="1" applyBorder="1" applyAlignment="1">
      <alignment horizontal="center" vertical="center"/>
    </xf>
    <xf numFmtId="170" fontId="2" fillId="2" borderId="0" xfId="1" applyNumberFormat="1" applyFont="1" applyFill="1" applyBorder="1" applyAlignment="1">
      <alignment vertical="center"/>
    </xf>
    <xf numFmtId="170" fontId="29" fillId="0" borderId="0" xfId="1" applyNumberFormat="1" applyFont="1" applyBorder="1" applyAlignment="1">
      <alignment horizontal="center" wrapText="1"/>
    </xf>
    <xf numFmtId="170" fontId="29" fillId="0" borderId="0" xfId="1" applyNumberFormat="1" applyFont="1" applyBorder="1" applyAlignment="1">
      <alignment wrapText="1"/>
    </xf>
    <xf numFmtId="169" fontId="3" fillId="2" borderId="0" xfId="1" applyFont="1" applyFill="1" applyAlignment="1">
      <alignment horizontal="right"/>
    </xf>
    <xf numFmtId="169" fontId="0" fillId="2" borderId="0" xfId="1" applyFont="1" applyFill="1" applyAlignment="1">
      <alignment horizontal="right"/>
    </xf>
    <xf numFmtId="169" fontId="25" fillId="6" borderId="0" xfId="1" applyFont="1" applyFill="1" applyBorder="1" applyAlignment="1">
      <alignment horizontal="right" vertical="center"/>
    </xf>
    <xf numFmtId="169" fontId="2" fillId="6" borderId="0" xfId="1" applyFont="1" applyFill="1" applyBorder="1" applyAlignment="1">
      <alignment horizontal="center" vertical="center"/>
    </xf>
    <xf numFmtId="170" fontId="2" fillId="6" borderId="0" xfId="1" applyNumberFormat="1" applyFont="1" applyFill="1" applyBorder="1" applyAlignment="1">
      <alignment horizontal="center" vertical="center"/>
    </xf>
    <xf numFmtId="0" fontId="30" fillId="0" borderId="0" xfId="4" applyFont="1"/>
    <xf numFmtId="0" fontId="18" fillId="2" borderId="0" xfId="4" applyFont="1" applyFill="1" applyBorder="1" applyAlignment="1">
      <alignment horizontal="justify" vertical="top" wrapText="1"/>
    </xf>
    <xf numFmtId="0" fontId="2" fillId="2" borderId="1" xfId="4" applyFont="1" applyFill="1" applyBorder="1" applyAlignment="1">
      <alignment vertical="center" wrapText="1"/>
    </xf>
    <xf numFmtId="0" fontId="31" fillId="0" borderId="0" xfId="4" applyFont="1"/>
    <xf numFmtId="0" fontId="3" fillId="2" borderId="7" xfId="4" applyFont="1" applyFill="1" applyBorder="1" applyAlignment="1">
      <alignment horizontal="left" vertical="center"/>
    </xf>
    <xf numFmtId="169" fontId="3" fillId="0" borderId="4" xfId="1" applyFont="1" applyFill="1" applyBorder="1" applyAlignment="1">
      <alignment horizontal="center" vertical="center"/>
    </xf>
    <xf numFmtId="169" fontId="3" fillId="0" borderId="7" xfId="1" applyFont="1" applyFill="1" applyBorder="1" applyAlignment="1">
      <alignment horizontal="center" vertical="center"/>
    </xf>
    <xf numFmtId="0" fontId="26" fillId="2" borderId="7" xfId="4" applyFont="1" applyFill="1" applyBorder="1" applyAlignment="1">
      <alignment horizontal="center" vertical="center" wrapText="1"/>
    </xf>
    <xf numFmtId="43" fontId="3" fillId="2" borderId="0" xfId="4" applyNumberFormat="1" applyFont="1" applyFill="1" applyBorder="1" applyAlignment="1">
      <alignment vertical="center"/>
    </xf>
    <xf numFmtId="169" fontId="3" fillId="2" borderId="4" xfId="1" applyFont="1" applyFill="1" applyBorder="1" applyAlignment="1">
      <alignment horizontal="right" vertical="center"/>
    </xf>
    <xf numFmtId="169" fontId="3" fillId="2" borderId="7" xfId="1" applyFont="1" applyFill="1" applyBorder="1" applyAlignment="1">
      <alignment horizontal="center" vertical="center"/>
    </xf>
    <xf numFmtId="0" fontId="3" fillId="2" borderId="4" xfId="4" applyFont="1" applyFill="1" applyBorder="1" applyAlignment="1">
      <alignment horizontal="justify" vertical="center" wrapText="1"/>
    </xf>
    <xf numFmtId="0" fontId="3" fillId="2" borderId="6" xfId="4" applyFont="1" applyFill="1" applyBorder="1" applyAlignment="1">
      <alignment horizontal="justify" vertical="center" wrapText="1"/>
    </xf>
    <xf numFmtId="0" fontId="3" fillId="2" borderId="4" xfId="4" applyFont="1" applyFill="1" applyBorder="1" applyAlignment="1">
      <alignment horizontal="left" vertical="center"/>
    </xf>
    <xf numFmtId="169" fontId="3" fillId="2" borderId="7" xfId="1" applyFont="1" applyFill="1" applyBorder="1" applyAlignment="1">
      <alignment horizontal="right" vertical="center"/>
    </xf>
    <xf numFmtId="169" fontId="3" fillId="2" borderId="1" xfId="1" applyFont="1" applyFill="1" applyBorder="1" applyAlignment="1">
      <alignment horizontal="right" vertical="center"/>
    </xf>
    <xf numFmtId="0" fontId="3" fillId="2" borderId="7" xfId="4" applyFont="1" applyFill="1" applyBorder="1" applyAlignment="1">
      <alignment horizontal="left" vertical="center" wrapText="1"/>
    </xf>
    <xf numFmtId="169" fontId="2" fillId="2" borderId="1" xfId="1" applyFont="1" applyFill="1" applyBorder="1" applyAlignment="1">
      <alignment horizontal="right" vertical="center"/>
    </xf>
    <xf numFmtId="0" fontId="25" fillId="2" borderId="6" xfId="4" applyFont="1" applyFill="1" applyBorder="1" applyAlignment="1">
      <alignment horizontal="justify" vertical="center" wrapText="1"/>
    </xf>
    <xf numFmtId="169" fontId="3" fillId="2" borderId="4" xfId="1" applyFont="1" applyFill="1" applyBorder="1" applyAlignment="1">
      <alignment vertical="center"/>
    </xf>
    <xf numFmtId="169" fontId="3" fillId="2" borderId="7" xfId="1" applyFont="1" applyFill="1" applyBorder="1" applyAlignment="1">
      <alignment vertical="center"/>
    </xf>
    <xf numFmtId="169" fontId="3" fillId="0" borderId="1" xfId="1" applyFont="1" applyFill="1" applyBorder="1" applyAlignment="1">
      <alignment horizontal="center" vertical="center"/>
    </xf>
    <xf numFmtId="170" fontId="2" fillId="4" borderId="1" xfId="1" applyNumberFormat="1" applyFont="1" applyFill="1" applyBorder="1" applyAlignment="1">
      <alignment horizontal="right" vertical="center" wrapText="1"/>
    </xf>
    <xf numFmtId="0" fontId="32" fillId="0" borderId="0" xfId="4" applyFont="1"/>
    <xf numFmtId="169" fontId="3" fillId="2" borderId="1" xfId="1" applyFont="1" applyFill="1" applyBorder="1" applyAlignment="1">
      <alignment horizontal="center" vertical="center"/>
    </xf>
    <xf numFmtId="0" fontId="26" fillId="6" borderId="1" xfId="4" applyFont="1" applyFill="1" applyBorder="1" applyAlignment="1">
      <alignment horizontal="left" vertical="center"/>
    </xf>
    <xf numFmtId="0" fontId="3" fillId="6" borderId="1" xfId="4" applyFont="1" applyFill="1" applyBorder="1" applyAlignment="1">
      <alignment horizontal="left" vertical="top" wrapText="1"/>
    </xf>
    <xf numFmtId="1" fontId="3" fillId="6" borderId="1" xfId="4" applyNumberFormat="1" applyFont="1" applyFill="1" applyBorder="1" applyAlignment="1">
      <alignment horizontal="right" vertical="center"/>
    </xf>
    <xf numFmtId="1" fontId="26" fillId="2" borderId="1" xfId="4" applyNumberFormat="1" applyFont="1" applyFill="1" applyBorder="1" applyAlignment="1">
      <alignment horizontal="right" vertical="center" wrapText="1"/>
    </xf>
    <xf numFmtId="3" fontId="3" fillId="14" borderId="1" xfId="4" applyNumberFormat="1" applyFont="1" applyFill="1" applyBorder="1" applyAlignment="1">
      <alignment horizontal="left" vertical="center" wrapText="1"/>
    </xf>
    <xf numFmtId="169" fontId="26" fillId="2" borderId="0" xfId="1" applyFont="1" applyFill="1" applyBorder="1" applyAlignment="1">
      <alignment horizontal="center" vertical="center"/>
    </xf>
    <xf numFmtId="0" fontId="2" fillId="4" borderId="4" xfId="4" applyFont="1" applyFill="1" applyBorder="1" applyAlignment="1">
      <alignment horizontal="justify" vertical="top" wrapText="1"/>
    </xf>
    <xf numFmtId="0" fontId="3" fillId="4" borderId="4" xfId="4" applyFont="1" applyFill="1" applyBorder="1" applyAlignment="1">
      <alignment horizontal="justify" vertical="top" wrapText="1"/>
    </xf>
    <xf numFmtId="4" fontId="3" fillId="4" borderId="4" xfId="1" applyNumberFormat="1" applyFont="1" applyFill="1" applyBorder="1" applyAlignment="1">
      <alignment horizontal="right" vertical="center"/>
    </xf>
    <xf numFmtId="4" fontId="3" fillId="4" borderId="4" xfId="1" applyNumberFormat="1" applyFont="1" applyFill="1" applyBorder="1" applyAlignment="1">
      <alignment horizontal="center" vertical="center"/>
    </xf>
    <xf numFmtId="4" fontId="3" fillId="4" borderId="4" xfId="1" applyNumberFormat="1" applyFont="1" applyFill="1" applyBorder="1" applyAlignment="1">
      <alignment horizontal="left" vertical="center"/>
    </xf>
    <xf numFmtId="1" fontId="3" fillId="4" borderId="4" xfId="1" applyNumberFormat="1" applyFont="1" applyFill="1" applyBorder="1" applyAlignment="1">
      <alignment horizontal="right" vertical="center"/>
    </xf>
    <xf numFmtId="169" fontId="26" fillId="2" borderId="1" xfId="1" applyFont="1" applyFill="1" applyBorder="1" applyAlignment="1">
      <alignment horizontal="center" vertical="center"/>
    </xf>
    <xf numFmtId="0" fontId="3" fillId="2" borderId="1" xfId="4" applyFont="1" applyFill="1" applyBorder="1" applyAlignment="1">
      <alignment horizontal="left" vertical="center" wrapText="1"/>
    </xf>
    <xf numFmtId="0" fontId="3" fillId="4" borderId="0" xfId="4" applyFont="1" applyFill="1" applyBorder="1" applyAlignment="1">
      <alignment vertical="center"/>
    </xf>
    <xf numFmtId="0" fontId="2" fillId="4" borderId="6" xfId="4" applyFont="1" applyFill="1" applyBorder="1" applyAlignment="1">
      <alignment horizontal="justify" vertical="center" wrapText="1"/>
    </xf>
    <xf numFmtId="0" fontId="2" fillId="4" borderId="7" xfId="4" applyFont="1" applyFill="1" applyBorder="1" applyAlignment="1">
      <alignment horizontal="justify" vertical="center" wrapText="1"/>
    </xf>
    <xf numFmtId="169" fontId="2" fillId="4" borderId="6" xfId="1" applyFont="1" applyFill="1" applyBorder="1" applyAlignment="1">
      <alignment horizontal="right" vertical="center"/>
    </xf>
    <xf numFmtId="0" fontId="2" fillId="16" borderId="6" xfId="4" applyFont="1" applyFill="1" applyBorder="1" applyAlignment="1">
      <alignment horizontal="center" vertical="center" wrapText="1"/>
    </xf>
    <xf numFmtId="0" fontId="2" fillId="16" borderId="6" xfId="4" applyFont="1" applyFill="1" applyBorder="1" applyAlignment="1">
      <alignment horizontal="justify" vertical="center" wrapText="1"/>
    </xf>
    <xf numFmtId="0" fontId="3" fillId="0" borderId="4" xfId="4" applyFont="1" applyFill="1" applyBorder="1" applyAlignment="1">
      <alignment horizontal="left" vertical="center" wrapText="1"/>
    </xf>
    <xf numFmtId="1" fontId="3" fillId="0" borderId="4" xfId="4" applyNumberFormat="1" applyFont="1" applyFill="1" applyBorder="1" applyAlignment="1">
      <alignment horizontal="right" vertical="center" wrapText="1"/>
    </xf>
    <xf numFmtId="1" fontId="3" fillId="6" borderId="4" xfId="1" applyNumberFormat="1" applyFont="1" applyFill="1" applyBorder="1" applyAlignment="1">
      <alignment horizontal="right" vertical="center" wrapText="1"/>
    </xf>
    <xf numFmtId="0" fontId="3" fillId="2" borderId="4" xfId="4" applyFont="1" applyFill="1" applyBorder="1" applyAlignment="1">
      <alignment horizontal="justify" vertical="top" wrapText="1"/>
    </xf>
    <xf numFmtId="4" fontId="3" fillId="2" borderId="4" xfId="1" applyNumberFormat="1" applyFont="1" applyFill="1" applyBorder="1" applyAlignment="1">
      <alignment horizontal="right" vertical="center"/>
    </xf>
    <xf numFmtId="4" fontId="3" fillId="2" borderId="4" xfId="1" applyNumberFormat="1" applyFont="1" applyFill="1" applyBorder="1" applyAlignment="1">
      <alignment horizontal="left" vertical="center"/>
    </xf>
    <xf numFmtId="0" fontId="2" fillId="4" borderId="7" xfId="4" applyFont="1" applyFill="1" applyBorder="1" applyAlignment="1">
      <alignment horizontal="justify" vertical="center"/>
    </xf>
    <xf numFmtId="0" fontId="25" fillId="4" borderId="7" xfId="4" applyFont="1" applyFill="1" applyBorder="1" applyAlignment="1">
      <alignment horizontal="justify" vertical="center" wrapText="1"/>
    </xf>
    <xf numFmtId="0" fontId="2" fillId="4" borderId="7" xfId="4" applyFont="1" applyFill="1" applyBorder="1" applyAlignment="1">
      <alignment horizontal="left" vertical="center"/>
    </xf>
    <xf numFmtId="1" fontId="2" fillId="4" borderId="7" xfId="4" applyNumberFormat="1" applyFont="1" applyFill="1" applyBorder="1" applyAlignment="1">
      <alignment horizontal="right" vertical="center"/>
    </xf>
    <xf numFmtId="1" fontId="2" fillId="4" borderId="7" xfId="1" applyNumberFormat="1" applyFont="1" applyFill="1" applyBorder="1" applyAlignment="1">
      <alignment horizontal="right" vertical="center"/>
    </xf>
    <xf numFmtId="169" fontId="2" fillId="4" borderId="7" xfId="1" applyFont="1" applyFill="1" applyBorder="1" applyAlignment="1">
      <alignment horizontal="right" vertical="center"/>
    </xf>
    <xf numFmtId="0" fontId="2" fillId="16" borderId="1" xfId="4" applyFont="1" applyFill="1" applyBorder="1" applyAlignment="1">
      <alignment horizontal="center" vertical="center" wrapText="1"/>
    </xf>
    <xf numFmtId="0" fontId="2" fillId="16" borderId="4" xfId="4" applyFont="1" applyFill="1" applyBorder="1" applyAlignment="1">
      <alignment horizontal="center" vertical="center" wrapText="1"/>
    </xf>
    <xf numFmtId="0" fontId="2" fillId="16" borderId="7" xfId="4" applyFont="1" applyFill="1" applyBorder="1" applyAlignment="1">
      <alignment horizontal="center" vertical="center" wrapText="1"/>
    </xf>
    <xf numFmtId="169" fontId="2" fillId="2" borderId="1" xfId="1" applyFont="1" applyFill="1" applyBorder="1" applyAlignment="1">
      <alignment vertical="center" wrapText="1"/>
    </xf>
    <xf numFmtId="0" fontId="1" fillId="2" borderId="1" xfId="4" applyFont="1" applyFill="1" applyBorder="1" applyAlignment="1">
      <alignment vertical="center" shrinkToFit="1"/>
    </xf>
    <xf numFmtId="43" fontId="2" fillId="16" borderId="1" xfId="1" applyNumberFormat="1" applyFont="1" applyFill="1" applyBorder="1" applyAlignment="1">
      <alignment horizontal="center" vertical="center" wrapText="1"/>
    </xf>
    <xf numFmtId="0" fontId="2" fillId="16" borderId="1" xfId="4" applyFont="1" applyFill="1" applyBorder="1" applyAlignment="1">
      <alignment vertical="center"/>
    </xf>
    <xf numFmtId="0" fontId="2" fillId="16" borderId="1" xfId="4" applyFont="1" applyFill="1" applyBorder="1" applyAlignment="1">
      <alignment horizontal="justify" vertical="top" wrapText="1"/>
    </xf>
    <xf numFmtId="0" fontId="2" fillId="16" borderId="1" xfId="4" applyFont="1" applyFill="1" applyBorder="1" applyAlignment="1">
      <alignment horizontal="left" vertical="center" wrapText="1"/>
    </xf>
    <xf numFmtId="4" fontId="2" fillId="16" borderId="1" xfId="1" applyNumberFormat="1" applyFont="1" applyFill="1" applyBorder="1" applyAlignment="1">
      <alignment horizontal="right" vertical="center"/>
    </xf>
    <xf numFmtId="4" fontId="2" fillId="16" borderId="1" xfId="1" applyNumberFormat="1" applyFont="1" applyFill="1" applyBorder="1" applyAlignment="1">
      <alignment horizontal="left" vertical="center"/>
    </xf>
    <xf numFmtId="169" fontId="2" fillId="16" borderId="1" xfId="1" applyFont="1" applyFill="1" applyBorder="1" applyAlignment="1">
      <alignment horizontal="center" vertical="center"/>
    </xf>
    <xf numFmtId="0" fontId="2" fillId="16" borderId="1" xfId="4" applyFont="1" applyFill="1" applyBorder="1" applyAlignment="1">
      <alignment horizontal="justify" vertical="center" wrapText="1"/>
    </xf>
    <xf numFmtId="4" fontId="2" fillId="16" borderId="1" xfId="1" applyNumberFormat="1" applyFont="1" applyFill="1" applyBorder="1" applyAlignment="1">
      <alignment horizontal="justify" vertical="center"/>
    </xf>
    <xf numFmtId="1" fontId="2" fillId="16" borderId="1" xfId="1" applyNumberFormat="1" applyFont="1" applyFill="1" applyBorder="1" applyAlignment="1">
      <alignment horizontal="right" vertical="center"/>
    </xf>
    <xf numFmtId="169" fontId="2" fillId="16" borderId="1" xfId="1" applyFont="1" applyFill="1" applyBorder="1" applyAlignment="1">
      <alignment horizontal="right" vertical="center"/>
    </xf>
    <xf numFmtId="1" fontId="2" fillId="16" borderId="1" xfId="4" applyNumberFormat="1" applyFont="1" applyFill="1" applyBorder="1" applyAlignment="1">
      <alignment horizontal="right" vertical="center" wrapText="1"/>
    </xf>
    <xf numFmtId="1" fontId="2" fillId="16" borderId="1" xfId="1" applyNumberFormat="1" applyFont="1" applyFill="1" applyBorder="1" applyAlignment="1">
      <alignment horizontal="right" vertical="center" wrapText="1"/>
    </xf>
    <xf numFmtId="0" fontId="33" fillId="16" borderId="1" xfId="4" applyFont="1" applyFill="1" applyBorder="1" applyAlignment="1">
      <alignment horizontal="justify" vertical="center" wrapText="1"/>
    </xf>
    <xf numFmtId="0" fontId="2" fillId="16" borderId="1" xfId="4" applyFont="1" applyFill="1" applyBorder="1" applyAlignment="1">
      <alignment horizontal="left" vertical="center"/>
    </xf>
    <xf numFmtId="1" fontId="2" fillId="16" borderId="1" xfId="4" applyNumberFormat="1" applyFont="1" applyFill="1" applyBorder="1" applyAlignment="1">
      <alignment horizontal="right" vertical="center"/>
    </xf>
    <xf numFmtId="0" fontId="2" fillId="16" borderId="7" xfId="4" applyFont="1" applyFill="1" applyBorder="1" applyAlignment="1">
      <alignment horizontal="justify" vertical="center" wrapText="1"/>
    </xf>
    <xf numFmtId="169" fontId="2" fillId="16" borderId="7" xfId="1" applyFont="1" applyFill="1" applyBorder="1" applyAlignment="1">
      <alignment horizontal="center" vertical="center"/>
    </xf>
    <xf numFmtId="0" fontId="2" fillId="17" borderId="1" xfId="4" applyFont="1" applyFill="1" applyBorder="1" applyAlignment="1">
      <alignment horizontal="justify" vertical="center" wrapText="1"/>
    </xf>
    <xf numFmtId="0" fontId="2" fillId="16" borderId="7" xfId="4" applyFont="1" applyFill="1" applyBorder="1" applyAlignment="1">
      <alignment horizontal="left" vertical="center" wrapText="1"/>
    </xf>
    <xf numFmtId="0" fontId="2" fillId="16" borderId="7" xfId="4" applyFont="1" applyFill="1" applyBorder="1" applyAlignment="1">
      <alignment horizontal="left" vertical="center"/>
    </xf>
    <xf numFmtId="3" fontId="2" fillId="17" borderId="1" xfId="4" applyNumberFormat="1" applyFont="1" applyFill="1" applyBorder="1" applyAlignment="1">
      <alignment horizontal="left" vertical="center" wrapText="1"/>
    </xf>
    <xf numFmtId="1" fontId="2" fillId="17" borderId="1" xfId="4" applyNumberFormat="1" applyFont="1" applyFill="1" applyBorder="1" applyAlignment="1">
      <alignment horizontal="right" vertical="center" wrapText="1"/>
    </xf>
    <xf numFmtId="0" fontId="2" fillId="2" borderId="0" xfId="1" applyNumberFormat="1" applyFont="1" applyFill="1" applyBorder="1" applyAlignment="1">
      <alignment horizontal="center" vertical="center" wrapText="1"/>
    </xf>
    <xf numFmtId="169" fontId="3" fillId="2" borderId="0" xfId="1" applyFont="1" applyFill="1" applyBorder="1" applyAlignment="1">
      <alignment horizontal="center" vertical="center"/>
    </xf>
    <xf numFmtId="169" fontId="3" fillId="2" borderId="0" xfId="1" applyFont="1" applyFill="1" applyBorder="1" applyAlignment="1">
      <alignment horizontal="center" vertical="center" wrapText="1"/>
    </xf>
    <xf numFmtId="43" fontId="2" fillId="2" borderId="0" xfId="1" applyNumberFormat="1" applyFont="1" applyFill="1" applyBorder="1" applyAlignment="1">
      <alignment horizontal="center" vertical="center" wrapText="1"/>
    </xf>
    <xf numFmtId="169" fontId="25" fillId="2" borderId="0" xfId="1" applyFont="1" applyFill="1" applyBorder="1" applyAlignment="1">
      <alignment horizontal="right" vertical="center"/>
    </xf>
    <xf numFmtId="0" fontId="0" fillId="0" borderId="0" xfId="4" applyFont="1" applyAlignment="1">
      <alignment horizontal="justify" vertical="center" wrapText="1"/>
    </xf>
    <xf numFmtId="43" fontId="0" fillId="0" borderId="0" xfId="4" applyNumberFormat="1" applyFont="1"/>
    <xf numFmtId="170" fontId="0" fillId="0" borderId="1" xfId="1" applyNumberFormat="1" applyFont="1" applyBorder="1" applyAlignment="1">
      <alignment horizontal="justify" vertical="center" wrapText="1"/>
    </xf>
    <xf numFmtId="170" fontId="0" fillId="0" borderId="1" xfId="1" applyNumberFormat="1" applyFont="1" applyBorder="1" applyAlignment="1">
      <alignment vertical="center"/>
    </xf>
    <xf numFmtId="170" fontId="0" fillId="0" borderId="0" xfId="4" applyNumberFormat="1" applyFont="1"/>
    <xf numFmtId="0" fontId="0" fillId="0" borderId="5" xfId="4" applyFont="1" applyBorder="1"/>
    <xf numFmtId="43" fontId="0" fillId="0" borderId="5" xfId="4" applyNumberFormat="1" applyFont="1" applyBorder="1"/>
    <xf numFmtId="0" fontId="1" fillId="0" borderId="1" xfId="4" applyFont="1" applyBorder="1" applyAlignment="1">
      <alignment horizontal="center" vertical="center" wrapText="1"/>
    </xf>
    <xf numFmtId="0" fontId="1" fillId="0" borderId="1" xfId="4" applyFont="1" applyBorder="1" applyAlignment="1">
      <alignment horizontal="center"/>
    </xf>
    <xf numFmtId="170" fontId="1" fillId="0" borderId="1" xfId="1" applyNumberFormat="1" applyFont="1" applyBorder="1" applyAlignment="1">
      <alignment horizontal="justify" vertical="center" wrapText="1"/>
    </xf>
    <xf numFmtId="170" fontId="1" fillId="0" borderId="1" xfId="1" applyNumberFormat="1" applyFont="1" applyBorder="1" applyAlignment="1">
      <alignment vertical="center"/>
    </xf>
    <xf numFmtId="172" fontId="0" fillId="0" borderId="1" xfId="1" applyNumberFormat="1" applyFont="1" applyBorder="1" applyAlignment="1">
      <alignment horizontal="right" vertical="center" wrapText="1"/>
    </xf>
    <xf numFmtId="173" fontId="2" fillId="16" borderId="1" xfId="1" applyNumberFormat="1" applyFont="1" applyFill="1" applyBorder="1" applyAlignment="1">
      <alignment horizontal="right" vertical="center"/>
    </xf>
    <xf numFmtId="173" fontId="2" fillId="4" borderId="1" xfId="1" applyNumberFormat="1" applyFont="1" applyFill="1" applyBorder="1" applyAlignment="1">
      <alignment horizontal="right" vertical="center"/>
    </xf>
    <xf numFmtId="173" fontId="3" fillId="2" borderId="1" xfId="1" applyNumberFormat="1" applyFont="1" applyFill="1" applyBorder="1" applyAlignment="1">
      <alignment horizontal="right" vertical="center"/>
    </xf>
    <xf numFmtId="173" fontId="26" fillId="2" borderId="1" xfId="1" applyNumberFormat="1" applyFont="1" applyFill="1" applyBorder="1" applyAlignment="1">
      <alignment horizontal="right" vertical="center"/>
    </xf>
    <xf numFmtId="173" fontId="3" fillId="2" borderId="4" xfId="1" applyNumberFormat="1" applyFont="1" applyFill="1" applyBorder="1" applyAlignment="1">
      <alignment horizontal="right" vertical="center"/>
    </xf>
    <xf numFmtId="173" fontId="2" fillId="0" borderId="1" xfId="1" applyNumberFormat="1" applyFont="1" applyFill="1" applyBorder="1" applyAlignment="1">
      <alignment horizontal="right" vertical="center"/>
    </xf>
    <xf numFmtId="173" fontId="2" fillId="2" borderId="1" xfId="1" applyNumberFormat="1" applyFont="1" applyFill="1" applyBorder="1" applyAlignment="1">
      <alignment horizontal="right" vertical="center"/>
    </xf>
    <xf numFmtId="173" fontId="3" fillId="0" borderId="1" xfId="1" applyNumberFormat="1" applyFont="1" applyFill="1" applyBorder="1" applyAlignment="1">
      <alignment horizontal="right" vertical="center"/>
    </xf>
    <xf numFmtId="173" fontId="3" fillId="2" borderId="1" xfId="1" applyNumberFormat="1" applyFont="1" applyFill="1" applyBorder="1" applyAlignment="1">
      <alignment horizontal="right" vertical="center" wrapText="1"/>
    </xf>
    <xf numFmtId="173" fontId="3" fillId="0" borderId="4" xfId="1" applyNumberFormat="1" applyFont="1" applyFill="1" applyBorder="1" applyAlignment="1">
      <alignment horizontal="right" vertical="center"/>
    </xf>
    <xf numFmtId="173" fontId="24" fillId="10" borderId="1" xfId="1" applyNumberFormat="1" applyFont="1" applyFill="1" applyBorder="1" applyAlignment="1">
      <alignment horizontal="right" vertical="center"/>
    </xf>
    <xf numFmtId="173" fontId="3" fillId="2" borderId="0" xfId="1" applyNumberFormat="1" applyFont="1" applyFill="1" applyBorder="1" applyAlignment="1">
      <alignment horizontal="right" vertical="center"/>
    </xf>
    <xf numFmtId="173" fontId="3" fillId="18" borderId="1" xfId="1" applyNumberFormat="1" applyFont="1" applyFill="1" applyBorder="1" applyAlignment="1" applyProtection="1">
      <alignment horizontal="right" vertical="center"/>
    </xf>
    <xf numFmtId="173" fontId="2" fillId="18" borderId="1" xfId="1" applyNumberFormat="1" applyFont="1" applyFill="1" applyBorder="1" applyAlignment="1" applyProtection="1">
      <alignment horizontal="right" vertical="center"/>
    </xf>
    <xf numFmtId="173" fontId="3" fillId="4" borderId="7" xfId="1" applyNumberFormat="1" applyFont="1" applyFill="1" applyBorder="1" applyAlignment="1">
      <alignment horizontal="right" vertical="center"/>
    </xf>
    <xf numFmtId="173" fontId="26" fillId="6" borderId="1" xfId="1" applyNumberFormat="1" applyFont="1" applyFill="1" applyBorder="1" applyAlignment="1">
      <alignment horizontal="right" vertical="center"/>
    </xf>
    <xf numFmtId="173" fontId="3" fillId="2" borderId="7" xfId="1" applyNumberFormat="1" applyFont="1" applyFill="1" applyBorder="1" applyAlignment="1">
      <alignment horizontal="right" vertical="center"/>
    </xf>
    <xf numFmtId="0" fontId="1" fillId="19" borderId="1" xfId="4" applyFont="1" applyFill="1" applyBorder="1" applyAlignment="1">
      <alignment horizontal="center" vertical="center" wrapText="1"/>
    </xf>
    <xf numFmtId="0" fontId="1" fillId="19" borderId="1" xfId="4" applyFont="1" applyFill="1" applyBorder="1" applyAlignment="1">
      <alignment horizontal="center"/>
    </xf>
    <xf numFmtId="0" fontId="1" fillId="16" borderId="1" xfId="4" applyFont="1" applyFill="1" applyBorder="1" applyAlignment="1">
      <alignment horizontal="center" vertical="center" wrapText="1"/>
    </xf>
    <xf numFmtId="172" fontId="1" fillId="16" borderId="1" xfId="1" applyNumberFormat="1" applyFont="1" applyFill="1" applyBorder="1" applyAlignment="1">
      <alignment horizontal="right" vertical="center" wrapText="1"/>
    </xf>
    <xf numFmtId="173" fontId="2" fillId="16" borderId="1" xfId="1" applyNumberFormat="1" applyFont="1" applyFill="1" applyBorder="1" applyAlignment="1">
      <alignment horizontal="right" vertical="center" wrapText="1"/>
    </xf>
    <xf numFmtId="173" fontId="2" fillId="16" borderId="7" xfId="1" applyNumberFormat="1" applyFont="1" applyFill="1" applyBorder="1" applyAlignment="1">
      <alignment horizontal="right" vertical="center"/>
    </xf>
    <xf numFmtId="169" fontId="2" fillId="4" borderId="1" xfId="1" applyFont="1" applyFill="1" applyBorder="1" applyAlignment="1">
      <alignment horizontal="center" vertical="center"/>
    </xf>
    <xf numFmtId="169" fontId="2" fillId="2" borderId="1" xfId="1" applyFont="1" applyFill="1" applyBorder="1" applyAlignment="1">
      <alignment horizontal="center" vertical="center"/>
    </xf>
    <xf numFmtId="0" fontId="2" fillId="6" borderId="1" xfId="4" applyFont="1" applyFill="1" applyBorder="1" applyAlignment="1">
      <alignment horizontal="justify" vertical="top" wrapText="1"/>
    </xf>
    <xf numFmtId="4" fontId="2" fillId="6" borderId="1" xfId="1" applyNumberFormat="1" applyFont="1" applyFill="1" applyBorder="1" applyAlignment="1">
      <alignment horizontal="center" vertical="center"/>
    </xf>
    <xf numFmtId="4" fontId="2" fillId="6" borderId="1" xfId="1" applyNumberFormat="1" applyFont="1" applyFill="1" applyBorder="1" applyAlignment="1">
      <alignment horizontal="left" vertical="center"/>
    </xf>
    <xf numFmtId="169" fontId="2" fillId="6" borderId="1" xfId="1" applyFont="1" applyFill="1" applyBorder="1" applyAlignment="1">
      <alignment horizontal="right" vertical="center"/>
    </xf>
    <xf numFmtId="173" fontId="2" fillId="6" borderId="1" xfId="1" applyNumberFormat="1" applyFont="1" applyFill="1" applyBorder="1" applyAlignment="1">
      <alignment horizontal="right" vertical="center"/>
    </xf>
    <xf numFmtId="1" fontId="24" fillId="2" borderId="1" xfId="4" applyNumberFormat="1" applyFont="1" applyFill="1" applyBorder="1" applyAlignment="1">
      <alignment horizontal="right" vertical="center"/>
    </xf>
    <xf numFmtId="1" fontId="24" fillId="2" borderId="1" xfId="1" applyNumberFormat="1" applyFont="1" applyFill="1" applyBorder="1" applyAlignment="1">
      <alignment horizontal="right" vertical="center"/>
    </xf>
    <xf numFmtId="0" fontId="34" fillId="0" borderId="0" xfId="4" applyFont="1" applyAlignment="1">
      <alignment vertical="center"/>
    </xf>
    <xf numFmtId="0" fontId="35" fillId="0" borderId="9" xfId="4" applyFont="1" applyBorder="1" applyAlignment="1">
      <alignment horizontal="left" vertical="center" wrapText="1"/>
    </xf>
    <xf numFmtId="0" fontId="35" fillId="0" borderId="10" xfId="4" applyFont="1" applyBorder="1" applyAlignment="1">
      <alignment horizontal="left" vertical="center"/>
    </xf>
    <xf numFmtId="0" fontId="35" fillId="0" borderId="10" xfId="4" applyFont="1" applyBorder="1" applyAlignment="1">
      <alignment horizontal="center" vertical="center"/>
    </xf>
    <xf numFmtId="0" fontId="35" fillId="0" borderId="11" xfId="4" applyFont="1" applyBorder="1" applyAlignment="1">
      <alignment horizontal="left" vertical="center" wrapText="1"/>
    </xf>
    <xf numFmtId="0" fontId="35" fillId="0" borderId="12" xfId="4" applyFont="1" applyBorder="1" applyAlignment="1">
      <alignment horizontal="left" vertical="center"/>
    </xf>
    <xf numFmtId="0" fontId="35" fillId="0" borderId="13" xfId="4" applyFont="1" applyBorder="1" applyAlignment="1">
      <alignment horizontal="left" vertical="center" wrapText="1"/>
    </xf>
    <xf numFmtId="0" fontId="35" fillId="0" borderId="14" xfId="4" applyFont="1" applyBorder="1" applyAlignment="1">
      <alignment horizontal="left" vertical="center"/>
    </xf>
    <xf numFmtId="0" fontId="36" fillId="0" borderId="0" xfId="4" applyFont="1" applyAlignment="1">
      <alignment horizontal="left" vertical="center"/>
    </xf>
    <xf numFmtId="0" fontId="2" fillId="2" borderId="7" xfId="4" applyFont="1" applyFill="1" applyBorder="1" applyAlignment="1">
      <alignment vertical="center" wrapText="1"/>
    </xf>
    <xf numFmtId="0" fontId="2" fillId="2" borderId="6" xfId="4" applyFont="1" applyFill="1" applyBorder="1" applyAlignment="1">
      <alignment vertical="center" wrapText="1"/>
    </xf>
    <xf numFmtId="0" fontId="2" fillId="2" borderId="6" xfId="4" applyFont="1" applyFill="1" applyBorder="1" applyAlignment="1">
      <alignment vertical="center"/>
    </xf>
    <xf numFmtId="0" fontId="2" fillId="2" borderId="4" xfId="4" applyFont="1" applyFill="1" applyBorder="1" applyAlignment="1">
      <alignment horizontal="justify" vertical="top" wrapText="1"/>
    </xf>
    <xf numFmtId="0" fontId="3" fillId="2" borderId="6" xfId="4" applyFont="1" applyFill="1" applyBorder="1" applyAlignment="1">
      <alignment horizontal="justify" vertical="top" wrapText="1"/>
    </xf>
    <xf numFmtId="170" fontId="3" fillId="2" borderId="7" xfId="1" applyNumberFormat="1" applyFont="1" applyFill="1" applyBorder="1" applyAlignment="1">
      <alignment horizontal="left" vertical="center" wrapText="1"/>
    </xf>
    <xf numFmtId="1" fontId="3" fillId="2" borderId="1" xfId="1" applyNumberFormat="1" applyFont="1" applyFill="1" applyBorder="1" applyAlignment="1">
      <alignment horizontal="left" vertical="center" wrapText="1"/>
    </xf>
    <xf numFmtId="3" fontId="3" fillId="2" borderId="1" xfId="1" applyNumberFormat="1" applyFont="1" applyFill="1" applyBorder="1" applyAlignment="1">
      <alignment horizontal="right" vertical="center"/>
    </xf>
    <xf numFmtId="1" fontId="3" fillId="2" borderId="1" xfId="1" applyNumberFormat="1" applyFont="1" applyFill="1" applyBorder="1" applyAlignment="1">
      <alignment horizontal="left" vertical="center"/>
    </xf>
    <xf numFmtId="1" fontId="24" fillId="2" borderId="1" xfId="1" applyNumberFormat="1" applyFont="1" applyFill="1" applyBorder="1" applyAlignment="1">
      <alignment horizontal="left" vertical="center" wrapText="1"/>
    </xf>
    <xf numFmtId="170" fontId="2" fillId="4" borderId="1" xfId="1" applyNumberFormat="1" applyFont="1" applyFill="1" applyBorder="1" applyAlignment="1">
      <alignment horizontal="left" vertical="center" wrapText="1"/>
    </xf>
    <xf numFmtId="0" fontId="3" fillId="2" borderId="7" xfId="4" applyFont="1" applyFill="1" applyBorder="1" applyAlignment="1">
      <alignment horizontal="right" vertical="center" wrapText="1"/>
    </xf>
    <xf numFmtId="170" fontId="26" fillId="2" borderId="1" xfId="1" applyNumberFormat="1" applyFont="1" applyFill="1" applyBorder="1" applyAlignment="1">
      <alignment horizontal="right" vertical="center"/>
    </xf>
    <xf numFmtId="0" fontId="2" fillId="4" borderId="1" xfId="4" applyFont="1" applyFill="1" applyBorder="1" applyAlignment="1">
      <alignment horizontal="right" vertical="center" wrapText="1"/>
    </xf>
    <xf numFmtId="0" fontId="2" fillId="2" borderId="1" xfId="4" applyFont="1" applyFill="1" applyBorder="1" applyAlignment="1">
      <alignment horizontal="right" vertical="center" wrapText="1"/>
    </xf>
    <xf numFmtId="43" fontId="2" fillId="2" borderId="0" xfId="4" applyNumberFormat="1" applyFont="1" applyFill="1" applyBorder="1" applyAlignment="1">
      <alignment vertical="center"/>
    </xf>
    <xf numFmtId="0" fontId="2" fillId="6" borderId="1" xfId="1" applyNumberFormat="1" applyFont="1" applyFill="1" applyBorder="1" applyAlignment="1">
      <alignment horizontal="center" vertical="center" wrapText="1"/>
    </xf>
    <xf numFmtId="175" fontId="3" fillId="2" borderId="0" xfId="2" applyNumberFormat="1" applyFont="1" applyFill="1" applyBorder="1" applyAlignment="1">
      <alignment vertical="center"/>
    </xf>
    <xf numFmtId="175" fontId="2" fillId="16" borderId="1" xfId="2" applyNumberFormat="1" applyFont="1" applyFill="1" applyBorder="1" applyAlignment="1">
      <alignment horizontal="right" vertical="center"/>
    </xf>
    <xf numFmtId="175" fontId="2" fillId="4" borderId="1" xfId="2" applyNumberFormat="1" applyFont="1" applyFill="1" applyBorder="1" applyAlignment="1">
      <alignment horizontal="right" vertical="center"/>
    </xf>
    <xf numFmtId="175" fontId="3" fillId="2" borderId="4" xfId="2" applyNumberFormat="1" applyFont="1" applyFill="1" applyBorder="1" applyAlignment="1">
      <alignment horizontal="right" vertical="center"/>
    </xf>
    <xf numFmtId="175" fontId="3" fillId="2" borderId="7" xfId="2" applyNumberFormat="1" applyFont="1" applyFill="1" applyBorder="1" applyAlignment="1">
      <alignment horizontal="center" vertical="center"/>
    </xf>
    <xf numFmtId="175" fontId="3" fillId="0" borderId="1" xfId="2" applyNumberFormat="1" applyFont="1" applyFill="1" applyBorder="1" applyAlignment="1">
      <alignment horizontal="right" vertical="center"/>
    </xf>
    <xf numFmtId="175" fontId="3" fillId="2" borderId="1" xfId="2" applyNumberFormat="1" applyFont="1" applyFill="1" applyBorder="1" applyAlignment="1">
      <alignment horizontal="right" vertical="center"/>
    </xf>
    <xf numFmtId="175" fontId="2" fillId="16" borderId="1" xfId="2" applyNumberFormat="1" applyFont="1" applyFill="1" applyBorder="1" applyAlignment="1">
      <alignment horizontal="center" vertical="center"/>
    </xf>
    <xf numFmtId="175" fontId="2" fillId="4" borderId="6" xfId="2" applyNumberFormat="1" applyFont="1" applyFill="1" applyBorder="1" applyAlignment="1">
      <alignment horizontal="right" vertical="center"/>
    </xf>
    <xf numFmtId="175" fontId="2" fillId="16" borderId="7" xfId="2" applyNumberFormat="1" applyFont="1" applyFill="1" applyBorder="1" applyAlignment="1">
      <alignment horizontal="center" vertical="center"/>
    </xf>
    <xf numFmtId="175" fontId="2" fillId="2" borderId="1" xfId="2" applyNumberFormat="1" applyFont="1" applyFill="1" applyBorder="1" applyAlignment="1">
      <alignment horizontal="right" vertical="center"/>
    </xf>
    <xf numFmtId="175" fontId="2" fillId="0" borderId="1" xfId="2" applyNumberFormat="1" applyFont="1" applyFill="1" applyBorder="1" applyAlignment="1">
      <alignment horizontal="right" vertical="center"/>
    </xf>
    <xf numFmtId="0" fontId="22" fillId="2" borderId="0" xfId="4" applyFont="1" applyFill="1" applyBorder="1" applyAlignment="1">
      <alignment horizontal="right" vertical="center"/>
    </xf>
    <xf numFmtId="4" fontId="3" fillId="2" borderId="4" xfId="1" applyNumberFormat="1" applyFont="1" applyFill="1" applyBorder="1" applyAlignment="1">
      <alignment horizontal="right" vertical="center" wrapText="1"/>
    </xf>
    <xf numFmtId="1" fontId="3" fillId="2" borderId="1" xfId="4" applyNumberFormat="1" applyFont="1" applyFill="1" applyBorder="1" applyAlignment="1">
      <alignment horizontal="left" vertical="center" wrapText="1"/>
    </xf>
    <xf numFmtId="4" fontId="2" fillId="16" borderId="1" xfId="4" applyNumberFormat="1" applyFont="1" applyFill="1" applyBorder="1" applyAlignment="1">
      <alignment horizontal="center" vertical="center" wrapText="1"/>
    </xf>
    <xf numFmtId="4" fontId="2" fillId="4" borderId="1" xfId="1" applyNumberFormat="1" applyFont="1" applyFill="1" applyBorder="1" applyAlignment="1">
      <alignment horizontal="right" vertical="center" wrapText="1"/>
    </xf>
    <xf numFmtId="4" fontId="2" fillId="4" borderId="6" xfId="1" applyNumberFormat="1" applyFont="1" applyFill="1" applyBorder="1" applyAlignment="1">
      <alignment horizontal="right" vertical="center"/>
    </xf>
    <xf numFmtId="4" fontId="3" fillId="0" borderId="4" xfId="1" applyNumberFormat="1" applyFont="1" applyFill="1" applyBorder="1" applyAlignment="1">
      <alignment horizontal="right" vertical="center" wrapText="1"/>
    </xf>
    <xf numFmtId="1" fontId="3" fillId="0" borderId="1" xfId="1" applyNumberFormat="1" applyFont="1" applyFill="1" applyBorder="1" applyAlignment="1">
      <alignment horizontal="right" vertical="center"/>
    </xf>
    <xf numFmtId="4" fontId="38" fillId="0" borderId="1" xfId="4" applyNumberFormat="1" applyFont="1" applyFill="1" applyBorder="1" applyAlignment="1">
      <alignment horizontal="center" vertical="center" wrapText="1"/>
    </xf>
    <xf numFmtId="0" fontId="39" fillId="0" borderId="1" xfId="4" applyFont="1" applyBorder="1" applyAlignment="1">
      <alignment horizontal="center" vertical="center" wrapText="1"/>
    </xf>
    <xf numFmtId="4" fontId="39" fillId="0" borderId="1" xfId="4" applyNumberFormat="1" applyFont="1" applyBorder="1" applyAlignment="1">
      <alignment horizontal="center" vertical="center" wrapText="1"/>
    </xf>
    <xf numFmtId="0" fontId="40" fillId="13" borderId="1" xfId="4" applyFont="1" applyFill="1" applyBorder="1" applyAlignment="1">
      <alignment horizontal="center" vertical="center" wrapText="1"/>
    </xf>
    <xf numFmtId="0" fontId="38" fillId="13" borderId="1" xfId="4" applyFont="1" applyFill="1" applyBorder="1" applyAlignment="1">
      <alignment horizontal="center" vertical="center" wrapText="1"/>
    </xf>
    <xf numFmtId="0" fontId="0" fillId="0" borderId="0" xfId="4" applyFont="1" applyAlignment="1">
      <alignment horizontal="left" wrapText="1"/>
    </xf>
    <xf numFmtId="4" fontId="41" fillId="7" borderId="1" xfId="4" applyNumberFormat="1" applyFont="1" applyFill="1" applyBorder="1" applyAlignment="1">
      <alignment horizontal="center" wrapText="1"/>
    </xf>
    <xf numFmtId="4" fontId="41" fillId="0" borderId="1" xfId="4" applyNumberFormat="1" applyFont="1" applyFill="1" applyBorder="1" applyAlignment="1">
      <alignment horizontal="center" wrapText="1"/>
    </xf>
    <xf numFmtId="4" fontId="41" fillId="20" borderId="1" xfId="4" applyNumberFormat="1" applyFont="1" applyFill="1" applyBorder="1" applyAlignment="1">
      <alignment horizontal="center" wrapText="1"/>
    </xf>
    <xf numFmtId="0" fontId="38" fillId="0" borderId="1" xfId="4" applyFont="1" applyBorder="1" applyAlignment="1">
      <alignment vertical="center" wrapText="1"/>
    </xf>
    <xf numFmtId="4" fontId="29" fillId="0" borderId="1" xfId="4" applyNumberFormat="1" applyFont="1" applyFill="1" applyBorder="1" applyAlignment="1">
      <alignment horizontal="center" vertical="center" wrapText="1"/>
    </xf>
    <xf numFmtId="0" fontId="29" fillId="0" borderId="1" xfId="4" applyFont="1" applyBorder="1" applyAlignment="1">
      <alignment horizontal="left" vertical="center" wrapText="1"/>
    </xf>
    <xf numFmtId="0" fontId="0" fillId="0" borderId="0" xfId="4" applyFont="1" applyAlignment="1">
      <alignment horizontal="center"/>
    </xf>
    <xf numFmtId="0" fontId="0" fillId="0" borderId="0" xfId="4" applyFont="1" applyAlignment="1">
      <alignment horizontal="center" wrapText="1"/>
    </xf>
    <xf numFmtId="2" fontId="0" fillId="0" borderId="0" xfId="4" applyNumberFormat="1" applyFont="1"/>
    <xf numFmtId="177" fontId="0" fillId="0" borderId="0" xfId="4" applyNumberFormat="1" applyFont="1"/>
    <xf numFmtId="0" fontId="45" fillId="22" borderId="1" xfId="4" applyFont="1" applyFill="1" applyBorder="1" applyAlignment="1">
      <alignment horizontal="center" vertical="center" wrapText="1"/>
    </xf>
    <xf numFmtId="0" fontId="46" fillId="2" borderId="8" xfId="4" applyFont="1" applyFill="1" applyBorder="1" applyAlignment="1">
      <alignment horizontal="center" vertical="center" wrapText="1"/>
    </xf>
    <xf numFmtId="0" fontId="46" fillId="2" borderId="16" xfId="4" applyFont="1" applyFill="1" applyBorder="1" applyAlignment="1">
      <alignment horizontal="center" vertical="center" wrapText="1"/>
    </xf>
    <xf numFmtId="0" fontId="46" fillId="2" borderId="5" xfId="4" applyFont="1" applyFill="1" applyBorder="1" applyAlignment="1">
      <alignment horizontal="center" vertical="center" wrapText="1"/>
    </xf>
    <xf numFmtId="0" fontId="47" fillId="0" borderId="1" xfId="4" applyFont="1" applyFill="1" applyBorder="1" applyAlignment="1">
      <alignment horizontal="center" vertical="center" wrapText="1"/>
    </xf>
    <xf numFmtId="0" fontId="48" fillId="0" borderId="1" xfId="4" applyFont="1" applyFill="1" applyBorder="1" applyAlignment="1">
      <alignment horizontal="justify" vertical="top" wrapText="1"/>
    </xf>
    <xf numFmtId="0" fontId="47" fillId="2" borderId="1" xfId="4" applyFont="1" applyFill="1" applyBorder="1" applyAlignment="1">
      <alignment horizontal="left" vertical="top"/>
    </xf>
    <xf numFmtId="1" fontId="47" fillId="2" borderId="1" xfId="4" applyNumberFormat="1" applyFont="1" applyFill="1" applyBorder="1" applyAlignment="1">
      <alignment horizontal="right" vertical="center"/>
    </xf>
    <xf numFmtId="1" fontId="47" fillId="2" borderId="1" xfId="1" applyNumberFormat="1" applyFont="1" applyFill="1" applyBorder="1" applyAlignment="1">
      <alignment horizontal="right" vertical="center" wrapText="1"/>
    </xf>
    <xf numFmtId="0" fontId="48" fillId="0" borderId="1" xfId="4" applyFont="1" applyBorder="1" applyAlignment="1">
      <alignment horizontal="left" vertical="top"/>
    </xf>
    <xf numFmtId="0" fontId="49" fillId="0" borderId="1" xfId="4" applyFont="1" applyBorder="1" applyAlignment="1">
      <alignment horizontal="justify" vertical="top" wrapText="1"/>
    </xf>
    <xf numFmtId="1" fontId="47" fillId="2" borderId="1" xfId="1" applyNumberFormat="1" applyFont="1" applyFill="1" applyBorder="1" applyAlignment="1">
      <alignment horizontal="right" vertical="center"/>
    </xf>
    <xf numFmtId="1" fontId="47" fillId="2" borderId="1" xfId="1" applyNumberFormat="1" applyFont="1" applyFill="1" applyBorder="1" applyAlignment="1">
      <alignment horizontal="left" vertical="top" wrapText="1"/>
    </xf>
    <xf numFmtId="0" fontId="47" fillId="0" borderId="1" xfId="4" applyFont="1" applyBorder="1" applyAlignment="1">
      <alignment horizontal="left" vertical="top" wrapText="1"/>
    </xf>
    <xf numFmtId="0" fontId="47" fillId="0" borderId="1" xfId="4" applyFont="1" applyBorder="1" applyAlignment="1">
      <alignment horizontal="right" vertical="center" wrapText="1"/>
    </xf>
    <xf numFmtId="170" fontId="47" fillId="2" borderId="1" xfId="1" applyNumberFormat="1" applyFont="1" applyFill="1" applyBorder="1" applyAlignment="1">
      <alignment horizontal="right" vertical="center" wrapText="1"/>
    </xf>
    <xf numFmtId="170" fontId="47" fillId="2" borderId="1" xfId="1" applyNumberFormat="1" applyFont="1" applyFill="1" applyBorder="1" applyAlignment="1">
      <alignment horizontal="left" vertical="top" wrapText="1"/>
    </xf>
    <xf numFmtId="0" fontId="47" fillId="2" borderId="1" xfId="4" applyFont="1" applyFill="1" applyBorder="1" applyAlignment="1">
      <alignment horizontal="left" vertical="center"/>
    </xf>
    <xf numFmtId="170" fontId="47" fillId="2" borderId="1" xfId="1" applyNumberFormat="1" applyFont="1" applyFill="1" applyBorder="1" applyAlignment="1">
      <alignment horizontal="left" vertical="center" wrapText="1"/>
    </xf>
    <xf numFmtId="0" fontId="47" fillId="0" borderId="1" xfId="4" applyFont="1" applyBorder="1" applyAlignment="1">
      <alignment horizontal="justify" vertical="top" wrapText="1"/>
    </xf>
    <xf numFmtId="0" fontId="47" fillId="2" borderId="1" xfId="4" applyFont="1" applyFill="1" applyBorder="1" applyAlignment="1">
      <alignment horizontal="left" vertical="center" wrapText="1"/>
    </xf>
    <xf numFmtId="1" fontId="47" fillId="0" borderId="1" xfId="4" applyNumberFormat="1" applyFont="1" applyFill="1" applyBorder="1" applyAlignment="1">
      <alignment horizontal="right" vertical="center"/>
    </xf>
    <xf numFmtId="1" fontId="47" fillId="2" borderId="1" xfId="1" applyNumberFormat="1" applyFont="1" applyFill="1" applyBorder="1" applyAlignment="1">
      <alignment horizontal="left" vertical="center"/>
    </xf>
    <xf numFmtId="0" fontId="47" fillId="2" borderId="1" xfId="4" applyFont="1" applyFill="1" applyBorder="1" applyAlignment="1">
      <alignment horizontal="left" vertical="top" wrapText="1"/>
    </xf>
    <xf numFmtId="0" fontId="47" fillId="0" borderId="1" xfId="4" applyFont="1" applyBorder="1" applyAlignment="1">
      <alignment horizontal="right" vertical="center"/>
    </xf>
    <xf numFmtId="0" fontId="48" fillId="0" borderId="1" xfId="4" applyFont="1" applyFill="1" applyBorder="1" applyAlignment="1">
      <alignment horizontal="left" vertical="center" wrapText="1"/>
    </xf>
    <xf numFmtId="1" fontId="48" fillId="0" borderId="1" xfId="4" applyNumberFormat="1" applyFont="1" applyFill="1" applyBorder="1" applyAlignment="1">
      <alignment horizontal="right" vertical="center" wrapText="1"/>
    </xf>
    <xf numFmtId="1" fontId="48" fillId="2" borderId="1" xfId="1" applyNumberFormat="1" applyFont="1" applyFill="1" applyBorder="1" applyAlignment="1">
      <alignment horizontal="left" vertical="center" wrapText="1"/>
    </xf>
    <xf numFmtId="0" fontId="47" fillId="0" borderId="1" xfId="4" applyFont="1" applyFill="1" applyBorder="1" applyAlignment="1">
      <alignment horizontal="left" vertical="center" wrapText="1"/>
    </xf>
    <xf numFmtId="0" fontId="48" fillId="0" borderId="1" xfId="4" applyFont="1" applyBorder="1" applyAlignment="1">
      <alignment horizontal="left" vertical="top" wrapText="1"/>
    </xf>
    <xf numFmtId="3" fontId="47" fillId="14" borderId="1" xfId="4" applyNumberFormat="1" applyFont="1" applyFill="1" applyBorder="1" applyAlignment="1">
      <alignment horizontal="left" vertical="center" wrapText="1"/>
    </xf>
    <xf numFmtId="3" fontId="48" fillId="14" borderId="1" xfId="4" applyNumberFormat="1" applyFont="1" applyFill="1" applyBorder="1" applyAlignment="1">
      <alignment horizontal="left" vertical="center" wrapText="1"/>
    </xf>
    <xf numFmtId="0" fontId="47" fillId="14" borderId="1" xfId="4" applyFont="1" applyFill="1" applyBorder="1" applyAlignment="1">
      <alignment horizontal="left" vertical="center" wrapText="1"/>
    </xf>
    <xf numFmtId="1" fontId="48" fillId="2" borderId="1" xfId="4" applyNumberFormat="1" applyFont="1" applyFill="1" applyBorder="1" applyAlignment="1">
      <alignment horizontal="right" vertical="center"/>
    </xf>
    <xf numFmtId="1" fontId="48" fillId="2" borderId="1" xfId="4" applyNumberFormat="1" applyFont="1" applyFill="1" applyBorder="1" applyAlignment="1">
      <alignment horizontal="right" vertical="center" wrapText="1"/>
    </xf>
    <xf numFmtId="1" fontId="48" fillId="2" borderId="1" xfId="1" applyNumberFormat="1" applyFont="1" applyFill="1" applyBorder="1" applyAlignment="1">
      <alignment horizontal="right" vertical="center"/>
    </xf>
    <xf numFmtId="3" fontId="47" fillId="2" borderId="1" xfId="1" applyNumberFormat="1" applyFont="1" applyFill="1" applyBorder="1" applyAlignment="1">
      <alignment horizontal="left" vertical="top"/>
    </xf>
    <xf numFmtId="4" fontId="47" fillId="2" borderId="1" xfId="1" applyNumberFormat="1" applyFont="1" applyFill="1" applyBorder="1" applyAlignment="1">
      <alignment horizontal="left" vertical="center" wrapText="1"/>
    </xf>
    <xf numFmtId="1" fontId="47" fillId="2" borderId="1" xfId="1" applyNumberFormat="1" applyFont="1" applyFill="1" applyBorder="1" applyAlignment="1">
      <alignment horizontal="left" vertical="center" wrapText="1"/>
    </xf>
    <xf numFmtId="3" fontId="47" fillId="14" borderId="1" xfId="4" applyNumberFormat="1" applyFont="1" applyFill="1" applyBorder="1" applyAlignment="1">
      <alignment horizontal="left" vertical="top" wrapText="1"/>
    </xf>
    <xf numFmtId="3" fontId="47" fillId="14" borderId="1" xfId="4" applyNumberFormat="1" applyFont="1" applyFill="1" applyBorder="1" applyAlignment="1">
      <alignment horizontal="right" vertical="center" wrapText="1"/>
    </xf>
    <xf numFmtId="1" fontId="51" fillId="2" borderId="1" xfId="1" applyNumberFormat="1" applyFont="1" applyFill="1" applyBorder="1" applyAlignment="1">
      <alignment horizontal="left" vertical="center" wrapText="1"/>
    </xf>
    <xf numFmtId="165" fontId="47" fillId="2" borderId="1" xfId="1" applyNumberFormat="1" applyFont="1" applyFill="1" applyBorder="1" applyAlignment="1">
      <alignment horizontal="right" vertical="center"/>
    </xf>
    <xf numFmtId="1" fontId="47" fillId="2" borderId="1" xfId="1" applyNumberFormat="1" applyFont="1" applyFill="1" applyBorder="1" applyAlignment="1">
      <alignment horizontal="left" vertical="top"/>
    </xf>
    <xf numFmtId="4" fontId="47" fillId="2" borderId="1" xfId="1" applyNumberFormat="1" applyFont="1" applyFill="1" applyBorder="1" applyAlignment="1">
      <alignment horizontal="left" vertical="center"/>
    </xf>
    <xf numFmtId="0" fontId="48" fillId="0" borderId="1" xfId="4" applyFont="1" applyFill="1" applyBorder="1" applyAlignment="1">
      <alignment horizontal="left" vertical="center"/>
    </xf>
    <xf numFmtId="1" fontId="48" fillId="0" borderId="1" xfId="4" applyNumberFormat="1" applyFont="1" applyFill="1" applyBorder="1" applyAlignment="1">
      <alignment horizontal="right" vertical="center"/>
    </xf>
    <xf numFmtId="170" fontId="48" fillId="2" borderId="1" xfId="1" applyNumberFormat="1" applyFont="1" applyFill="1" applyBorder="1" applyAlignment="1">
      <alignment horizontal="right" vertical="center" wrapText="1"/>
    </xf>
    <xf numFmtId="170" fontId="48" fillId="2" borderId="1" xfId="1" applyNumberFormat="1" applyFont="1" applyFill="1" applyBorder="1" applyAlignment="1">
      <alignment horizontal="left" vertical="center" wrapText="1"/>
    </xf>
    <xf numFmtId="0" fontId="24" fillId="2" borderId="1" xfId="4" applyFont="1" applyFill="1" applyBorder="1" applyAlignment="1">
      <alignment horizontal="left" vertical="center"/>
    </xf>
    <xf numFmtId="0" fontId="3" fillId="2" borderId="1" xfId="4" applyFont="1" applyFill="1" applyBorder="1" applyAlignment="1">
      <alignment horizontal="left" vertical="top" wrapText="1"/>
    </xf>
    <xf numFmtId="4" fontId="47" fillId="2" borderId="1" xfId="1" applyNumberFormat="1" applyFont="1" applyFill="1" applyBorder="1" applyAlignment="1">
      <alignment horizontal="left" vertical="top"/>
    </xf>
    <xf numFmtId="4" fontId="47" fillId="2" borderId="1" xfId="1" applyNumberFormat="1" applyFont="1" applyFill="1" applyBorder="1" applyAlignment="1">
      <alignment horizontal="right" vertical="center"/>
    </xf>
    <xf numFmtId="3" fontId="47" fillId="2" borderId="1" xfId="1" applyNumberFormat="1" applyFont="1" applyFill="1" applyBorder="1" applyAlignment="1">
      <alignment horizontal="right" vertical="center"/>
    </xf>
    <xf numFmtId="3" fontId="51" fillId="14" borderId="1" xfId="4" applyNumberFormat="1" applyFont="1" applyFill="1" applyBorder="1" applyAlignment="1">
      <alignment horizontal="left" vertical="top" wrapText="1"/>
    </xf>
    <xf numFmtId="0" fontId="48" fillId="0" borderId="1" xfId="4" applyFont="1" applyBorder="1" applyAlignment="1">
      <alignment horizontal="justify" vertical="center" wrapText="1"/>
    </xf>
    <xf numFmtId="0" fontId="52" fillId="13" borderId="1" xfId="4" applyFont="1" applyFill="1" applyBorder="1" applyAlignment="1">
      <alignment horizontal="center" vertical="center" wrapText="1"/>
    </xf>
    <xf numFmtId="0" fontId="49" fillId="4" borderId="1" xfId="4" applyFont="1" applyFill="1" applyBorder="1" applyAlignment="1">
      <alignment horizontal="left" vertical="center" wrapText="1"/>
    </xf>
    <xf numFmtId="4" fontId="49" fillId="4" borderId="1" xfId="4" applyNumberFormat="1" applyFont="1" applyFill="1" applyBorder="1" applyAlignment="1">
      <alignment horizontal="center" vertical="center" wrapText="1"/>
    </xf>
    <xf numFmtId="0" fontId="49" fillId="0" borderId="1" xfId="4" applyFont="1" applyFill="1" applyBorder="1" applyAlignment="1">
      <alignment horizontal="left" vertical="center" wrapText="1"/>
    </xf>
    <xf numFmtId="4" fontId="49" fillId="0" borderId="1" xfId="4" applyNumberFormat="1" applyFont="1" applyFill="1" applyBorder="1" applyAlignment="1">
      <alignment horizontal="center" vertical="center" wrapText="1"/>
    </xf>
    <xf numFmtId="0" fontId="52" fillId="0" borderId="1" xfId="4" applyFont="1" applyFill="1" applyBorder="1" applyAlignment="1">
      <alignment horizontal="left" vertical="center" wrapText="1"/>
    </xf>
    <xf numFmtId="4" fontId="52" fillId="0" borderId="1" xfId="4" applyNumberFormat="1" applyFont="1" applyFill="1" applyBorder="1" applyAlignment="1">
      <alignment horizontal="center" vertical="center" wrapText="1"/>
    </xf>
    <xf numFmtId="0" fontId="38" fillId="23" borderId="1" xfId="4" applyFont="1" applyFill="1" applyBorder="1" applyAlignment="1">
      <alignment horizontal="center" vertical="center" wrapText="1"/>
    </xf>
    <xf numFmtId="1" fontId="3" fillId="0" borderId="1" xfId="1" applyNumberFormat="1" applyFont="1" applyFill="1" applyBorder="1" applyAlignment="1">
      <alignment horizontal="left" vertical="center" wrapText="1"/>
    </xf>
    <xf numFmtId="4" fontId="3" fillId="0" borderId="1" xfId="1" applyNumberFormat="1" applyFont="1" applyFill="1" applyBorder="1" applyAlignment="1">
      <alignment horizontal="justify" vertical="center" wrapText="1"/>
    </xf>
    <xf numFmtId="3" fontId="3" fillId="0" borderId="1" xfId="1" applyNumberFormat="1" applyFont="1" applyFill="1" applyBorder="1" applyAlignment="1">
      <alignment horizontal="left" vertical="center"/>
    </xf>
    <xf numFmtId="1" fontId="3" fillId="0" borderId="1" xfId="1" applyNumberFormat="1" applyFont="1" applyFill="1" applyBorder="1" applyAlignment="1">
      <alignment horizontal="left" vertical="center"/>
    </xf>
    <xf numFmtId="0" fontId="2" fillId="21" borderId="1" xfId="1" applyNumberFormat="1" applyFont="1" applyFill="1" applyBorder="1" applyAlignment="1">
      <alignment horizontal="center" vertical="center" wrapText="1"/>
    </xf>
    <xf numFmtId="0" fontId="2" fillId="21" borderId="1" xfId="4" applyFont="1" applyFill="1" applyBorder="1" applyAlignment="1">
      <alignment horizontal="center" vertical="center" wrapText="1"/>
    </xf>
    <xf numFmtId="175" fontId="2" fillId="21" borderId="1" xfId="2" applyNumberFormat="1" applyFont="1" applyFill="1" applyBorder="1" applyAlignment="1">
      <alignment horizontal="center" vertical="center" wrapText="1"/>
    </xf>
    <xf numFmtId="0" fontId="53" fillId="24" borderId="8" xfId="4" applyFont="1" applyFill="1" applyBorder="1" applyAlignment="1">
      <alignment vertical="center" wrapText="1"/>
    </xf>
    <xf numFmtId="0" fontId="53" fillId="24" borderId="16" xfId="4" applyFont="1" applyFill="1" applyBorder="1" applyAlignment="1">
      <alignment vertical="center" wrapText="1"/>
    </xf>
    <xf numFmtId="0" fontId="53" fillId="24" borderId="5" xfId="4" applyFont="1" applyFill="1" applyBorder="1" applyAlignment="1">
      <alignment vertical="center" wrapText="1"/>
    </xf>
    <xf numFmtId="176" fontId="49" fillId="0" borderId="1" xfId="4" applyNumberFormat="1" applyFont="1" applyFill="1" applyBorder="1" applyAlignment="1">
      <alignment horizontal="center" vertical="center" wrapText="1"/>
    </xf>
    <xf numFmtId="169" fontId="3" fillId="0" borderId="4" xfId="1" applyFont="1" applyFill="1" applyBorder="1" applyAlignment="1">
      <alignment horizontal="right" vertical="center"/>
    </xf>
    <xf numFmtId="169" fontId="3" fillId="0" borderId="7" xfId="1" applyFont="1" applyFill="1" applyBorder="1" applyAlignment="1">
      <alignment horizontal="right" vertical="center"/>
    </xf>
    <xf numFmtId="0" fontId="3" fillId="0" borderId="4" xfId="4" applyFont="1" applyFill="1" applyBorder="1" applyAlignment="1">
      <alignment horizontal="justify" vertical="center" wrapText="1"/>
    </xf>
    <xf numFmtId="0" fontId="3" fillId="0" borderId="6" xfId="4" applyFont="1" applyFill="1" applyBorder="1" applyAlignment="1">
      <alignment horizontal="justify" vertical="center" wrapText="1"/>
    </xf>
    <xf numFmtId="0" fontId="3" fillId="0" borderId="7" xfId="4" applyFont="1" applyFill="1" applyBorder="1" applyAlignment="1">
      <alignment horizontal="justify" vertical="center" wrapText="1"/>
    </xf>
    <xf numFmtId="169" fontId="3" fillId="0" borderId="6" xfId="1" applyFont="1" applyFill="1" applyBorder="1" applyAlignment="1">
      <alignment horizontal="right" vertical="center"/>
    </xf>
    <xf numFmtId="169" fontId="3" fillId="0" borderId="6" xfId="1" applyFont="1" applyFill="1" applyBorder="1" applyAlignment="1">
      <alignment horizontal="center" vertical="center"/>
    </xf>
    <xf numFmtId="0" fontId="2" fillId="0" borderId="6" xfId="4" applyFont="1" applyFill="1" applyBorder="1" applyAlignment="1">
      <alignment vertical="center" wrapText="1"/>
    </xf>
    <xf numFmtId="0" fontId="3" fillId="0" borderId="6" xfId="4" applyFont="1" applyFill="1" applyBorder="1" applyAlignment="1">
      <alignment vertical="center"/>
    </xf>
    <xf numFmtId="175" fontId="3" fillId="0" borderId="4" xfId="2" applyNumberFormat="1" applyFont="1" applyFill="1" applyBorder="1" applyAlignment="1">
      <alignment horizontal="right" vertical="center"/>
    </xf>
    <xf numFmtId="175" fontId="3" fillId="0" borderId="4" xfId="2" applyNumberFormat="1" applyFont="1" applyFill="1" applyBorder="1" applyAlignment="1">
      <alignment vertical="center"/>
    </xf>
    <xf numFmtId="169" fontId="3" fillId="0" borderId="0" xfId="1" applyFont="1" applyFill="1" applyBorder="1" applyAlignment="1">
      <alignment horizontal="right" vertical="center"/>
    </xf>
    <xf numFmtId="170" fontId="3" fillId="0" borderId="0" xfId="1" applyNumberFormat="1" applyFont="1" applyFill="1" applyBorder="1" applyAlignment="1">
      <alignment vertical="center"/>
    </xf>
    <xf numFmtId="3" fontId="3" fillId="0" borderId="0" xfId="4" applyNumberFormat="1" applyFont="1" applyFill="1" applyBorder="1" applyAlignment="1">
      <alignment vertical="center"/>
    </xf>
    <xf numFmtId="169" fontId="3" fillId="0" borderId="6" xfId="1" applyFont="1" applyFill="1" applyBorder="1" applyAlignment="1">
      <alignment vertical="center"/>
    </xf>
    <xf numFmtId="0" fontId="3" fillId="0" borderId="5" xfId="4" applyFont="1" applyFill="1" applyBorder="1" applyAlignment="1">
      <alignment horizontal="justify" vertical="center" wrapText="1"/>
    </xf>
    <xf numFmtId="169" fontId="0" fillId="0" borderId="0" xfId="1" applyFont="1" applyFill="1" applyAlignment="1">
      <alignment horizontal="right" vertical="center"/>
    </xf>
    <xf numFmtId="3" fontId="2" fillId="0" borderId="0" xfId="4" applyNumberFormat="1" applyFont="1" applyFill="1" applyBorder="1" applyAlignment="1">
      <alignment horizontal="center" vertical="center"/>
    </xf>
    <xf numFmtId="0" fontId="24" fillId="0" borderId="5" xfId="4" applyFont="1" applyFill="1" applyBorder="1" applyAlignment="1">
      <alignment horizontal="justify" vertical="center" wrapText="1"/>
    </xf>
    <xf numFmtId="1" fontId="3" fillId="0" borderId="7" xfId="4" applyNumberFormat="1" applyFont="1" applyFill="1" applyBorder="1" applyAlignment="1">
      <alignment horizontal="left" vertical="center" wrapText="1"/>
    </xf>
    <xf numFmtId="1" fontId="3" fillId="0" borderId="6" xfId="1" applyNumberFormat="1" applyFont="1" applyFill="1" applyBorder="1" applyAlignment="1">
      <alignment horizontal="left" vertical="center"/>
    </xf>
    <xf numFmtId="1" fontId="3" fillId="0" borderId="7" xfId="1" applyNumberFormat="1" applyFont="1" applyFill="1" applyBorder="1" applyAlignment="1">
      <alignment horizontal="left" vertical="center"/>
    </xf>
    <xf numFmtId="0" fontId="2" fillId="0" borderId="6" xfId="4" applyFont="1" applyFill="1" applyBorder="1" applyAlignment="1">
      <alignment vertical="center"/>
    </xf>
    <xf numFmtId="0" fontId="2" fillId="0" borderId="4" xfId="4" applyFont="1" applyFill="1" applyBorder="1" applyAlignment="1">
      <alignment horizontal="justify" vertical="center" wrapText="1"/>
    </xf>
    <xf numFmtId="4" fontId="3" fillId="0" borderId="1" xfId="1" applyNumberFormat="1" applyFont="1" applyFill="1" applyBorder="1" applyAlignment="1">
      <alignment horizontal="right" vertical="center" wrapText="1"/>
    </xf>
    <xf numFmtId="169" fontId="3" fillId="0" borderId="0" xfId="1" applyFont="1" applyFill="1" applyBorder="1" applyAlignment="1">
      <alignment horizontal="center" vertical="center"/>
    </xf>
    <xf numFmtId="169" fontId="2" fillId="0" borderId="0" xfId="1" applyFont="1" applyFill="1" applyBorder="1" applyAlignment="1">
      <alignment horizontal="right" vertical="center"/>
    </xf>
    <xf numFmtId="170" fontId="2" fillId="0" borderId="0" xfId="1" applyNumberFormat="1" applyFont="1" applyFill="1" applyBorder="1" applyAlignment="1">
      <alignment vertical="center"/>
    </xf>
    <xf numFmtId="0" fontId="25" fillId="0" borderId="0" xfId="4" applyFont="1" applyFill="1" applyBorder="1" applyAlignment="1">
      <alignment vertical="center"/>
    </xf>
    <xf numFmtId="0" fontId="2" fillId="0" borderId="6" xfId="4" applyFont="1" applyFill="1" applyBorder="1" applyAlignment="1">
      <alignment horizontal="justify" vertical="center" wrapText="1"/>
    </xf>
    <xf numFmtId="170" fontId="29" fillId="0" borderId="0" xfId="1" applyNumberFormat="1" applyFont="1" applyFill="1" applyBorder="1" applyAlignment="1">
      <alignment vertical="center" wrapText="1"/>
    </xf>
    <xf numFmtId="0" fontId="3" fillId="0" borderId="1" xfId="4" applyFont="1" applyFill="1" applyBorder="1" applyAlignment="1">
      <alignment horizontal="right" vertical="center"/>
    </xf>
    <xf numFmtId="1" fontId="3" fillId="0" borderId="6" xfId="1" applyNumberFormat="1" applyFont="1" applyFill="1" applyBorder="1" applyAlignment="1">
      <alignment horizontal="left" vertical="center" wrapText="1"/>
    </xf>
    <xf numFmtId="175" fontId="3" fillId="0" borderId="6" xfId="2" applyNumberFormat="1" applyFont="1" applyFill="1" applyBorder="1" applyAlignment="1">
      <alignment horizontal="center" vertical="center"/>
    </xf>
    <xf numFmtId="175" fontId="3" fillId="0" borderId="6" xfId="2" applyNumberFormat="1" applyFont="1" applyFill="1" applyBorder="1" applyAlignment="1">
      <alignment vertical="center"/>
    </xf>
    <xf numFmtId="0" fontId="3" fillId="0" borderId="4" xfId="4" applyFont="1" applyFill="1" applyBorder="1" applyAlignment="1">
      <alignment horizontal="justify" vertical="center"/>
    </xf>
    <xf numFmtId="170" fontId="3" fillId="0" borderId="1" xfId="1" applyNumberFormat="1" applyFont="1" applyFill="1" applyBorder="1" applyAlignment="1">
      <alignment horizontal="right" vertical="center" wrapText="1"/>
    </xf>
    <xf numFmtId="170" fontId="3" fillId="0" borderId="1" xfId="1" applyNumberFormat="1" applyFont="1" applyFill="1" applyBorder="1" applyAlignment="1">
      <alignment horizontal="left" vertical="center" wrapText="1"/>
    </xf>
    <xf numFmtId="169" fontId="3" fillId="0" borderId="17" xfId="1" applyFont="1" applyFill="1" applyBorder="1" applyAlignment="1">
      <alignment horizontal="right" vertical="center"/>
    </xf>
    <xf numFmtId="169" fontId="3" fillId="0" borderId="2" xfId="1" applyFont="1" applyFill="1" applyBorder="1" applyAlignment="1">
      <alignment horizontal="right" vertical="center"/>
    </xf>
    <xf numFmtId="170" fontId="26" fillId="0" borderId="1" xfId="1" applyNumberFormat="1" applyFont="1" applyFill="1" applyBorder="1" applyAlignment="1">
      <alignment horizontal="left" vertical="center" wrapText="1"/>
    </xf>
    <xf numFmtId="169" fontId="3" fillId="0" borderId="18" xfId="1" applyFont="1" applyFill="1" applyBorder="1" applyAlignment="1">
      <alignment horizontal="right" vertical="center"/>
    </xf>
    <xf numFmtId="3" fontId="24" fillId="0" borderId="1" xfId="1" applyNumberFormat="1" applyFont="1" applyFill="1" applyBorder="1" applyAlignment="1">
      <alignment horizontal="right" vertical="center"/>
    </xf>
    <xf numFmtId="1" fontId="3" fillId="0" borderId="4" xfId="1" applyNumberFormat="1" applyFont="1" applyFill="1" applyBorder="1" applyAlignment="1">
      <alignment horizontal="left" vertical="center"/>
    </xf>
    <xf numFmtId="175" fontId="3" fillId="0" borderId="4" xfId="2" applyNumberFormat="1" applyFont="1" applyFill="1" applyBorder="1" applyAlignment="1">
      <alignment horizontal="center" vertical="center"/>
    </xf>
    <xf numFmtId="0" fontId="24" fillId="0" borderId="1" xfId="4" applyFont="1" applyFill="1" applyBorder="1" applyAlignment="1">
      <alignment horizontal="left" vertical="center" wrapText="1"/>
    </xf>
    <xf numFmtId="1" fontId="24" fillId="0" borderId="1" xfId="4" applyNumberFormat="1" applyFont="1" applyFill="1" applyBorder="1" applyAlignment="1">
      <alignment horizontal="right" vertical="center" wrapText="1"/>
    </xf>
    <xf numFmtId="1" fontId="24" fillId="0" borderId="1" xfId="1" applyNumberFormat="1" applyFont="1" applyFill="1" applyBorder="1" applyAlignment="1">
      <alignment horizontal="left" vertical="center" wrapText="1"/>
    </xf>
    <xf numFmtId="1" fontId="24" fillId="0" borderId="1" xfId="1" applyNumberFormat="1" applyFont="1" applyFill="1" applyBorder="1" applyAlignment="1">
      <alignment horizontal="right" vertical="center" wrapText="1"/>
    </xf>
    <xf numFmtId="4" fontId="24" fillId="0" borderId="1" xfId="1" applyNumberFormat="1" applyFont="1" applyFill="1" applyBorder="1" applyAlignment="1">
      <alignment horizontal="right" vertical="center" wrapText="1"/>
    </xf>
    <xf numFmtId="0" fontId="2" fillId="0" borderId="7" xfId="4" applyFont="1" applyFill="1" applyBorder="1" applyAlignment="1">
      <alignment vertical="center"/>
    </xf>
    <xf numFmtId="3" fontId="3" fillId="0" borderId="1" xfId="1" applyNumberFormat="1" applyFont="1" applyFill="1" applyBorder="1" applyAlignment="1">
      <alignment horizontal="right" vertical="center"/>
    </xf>
    <xf numFmtId="1" fontId="3" fillId="0" borderId="4" xfId="4" applyNumberFormat="1" applyFont="1" applyFill="1" applyBorder="1" applyAlignment="1">
      <alignment horizontal="left" vertical="center" wrapText="1"/>
    </xf>
    <xf numFmtId="1" fontId="3" fillId="0" borderId="4" xfId="1" applyNumberFormat="1" applyFont="1" applyFill="1" applyBorder="1" applyAlignment="1">
      <alignment horizontal="right" vertical="center" wrapText="1"/>
    </xf>
    <xf numFmtId="1" fontId="3" fillId="0" borderId="4" xfId="1" applyNumberFormat="1" applyFont="1" applyFill="1" applyBorder="1" applyAlignment="1">
      <alignment horizontal="left" vertical="center" wrapText="1"/>
    </xf>
    <xf numFmtId="169" fontId="3" fillId="0" borderId="0" xfId="1" applyFont="1" applyFill="1" applyBorder="1" applyAlignment="1">
      <alignment horizontal="center" vertical="center" wrapText="1"/>
    </xf>
    <xf numFmtId="169" fontId="3" fillId="0" borderId="4" xfId="1" applyFont="1" applyFill="1" applyBorder="1" applyAlignment="1">
      <alignment vertical="center"/>
    </xf>
    <xf numFmtId="0" fontId="3" fillId="0" borderId="6" xfId="4" applyFont="1" applyFill="1" applyBorder="1" applyAlignment="1">
      <alignment horizontal="justify" vertical="center"/>
    </xf>
    <xf numFmtId="1" fontId="3" fillId="0" borderId="7" xfId="1" applyNumberFormat="1" applyFont="1" applyFill="1" applyBorder="1" applyAlignment="1">
      <alignment horizontal="left" vertical="center" wrapText="1"/>
    </xf>
    <xf numFmtId="175" fontId="6" fillId="0" borderId="6" xfId="2" applyNumberFormat="1" applyFont="1" applyFill="1" applyBorder="1" applyAlignment="1">
      <alignment horizontal="right" vertical="center"/>
    </xf>
    <xf numFmtId="166" fontId="3" fillId="0" borderId="0" xfId="4" applyNumberFormat="1" applyFont="1" applyFill="1" applyBorder="1" applyAlignment="1">
      <alignment horizontal="center" vertical="center"/>
    </xf>
    <xf numFmtId="170" fontId="3" fillId="0" borderId="7" xfId="1" applyNumberFormat="1" applyFont="1" applyFill="1" applyBorder="1" applyAlignment="1">
      <alignment horizontal="left" vertical="center" wrapText="1"/>
    </xf>
    <xf numFmtId="175" fontId="3" fillId="0" borderId="7" xfId="2" applyNumberFormat="1" applyFont="1" applyFill="1" applyBorder="1" applyAlignment="1">
      <alignment vertical="center"/>
    </xf>
    <xf numFmtId="169" fontId="3" fillId="0" borderId="7" xfId="1" applyFont="1" applyFill="1" applyBorder="1" applyAlignment="1">
      <alignment vertical="center"/>
    </xf>
    <xf numFmtId="175" fontId="6" fillId="0" borderId="0" xfId="2" applyNumberFormat="1" applyFont="1" applyFill="1" applyAlignment="1">
      <alignment horizontal="right" vertical="center"/>
    </xf>
    <xf numFmtId="175" fontId="6" fillId="0" borderId="1" xfId="2" applyNumberFormat="1" applyFont="1" applyFill="1" applyBorder="1" applyAlignment="1">
      <alignment horizontal="right" vertical="center"/>
    </xf>
    <xf numFmtId="169" fontId="2" fillId="0" borderId="6" xfId="1" applyFont="1" applyFill="1" applyBorder="1" applyAlignment="1">
      <alignment vertical="center" wrapText="1"/>
    </xf>
    <xf numFmtId="0" fontId="24" fillId="0" borderId="4" xfId="4" applyFont="1" applyFill="1" applyBorder="1" applyAlignment="1">
      <alignment horizontal="justify" vertical="center" wrapText="1"/>
    </xf>
    <xf numFmtId="169" fontId="24" fillId="0" borderId="4" xfId="1" applyFont="1" applyFill="1" applyBorder="1" applyAlignment="1">
      <alignment horizontal="right" vertical="center"/>
    </xf>
    <xf numFmtId="164" fontId="2" fillId="0" borderId="0" xfId="2" applyFont="1" applyFill="1" applyBorder="1" applyAlignment="1">
      <alignment horizontal="center" vertical="center"/>
    </xf>
    <xf numFmtId="0" fontId="24" fillId="0" borderId="7" xfId="4" applyFont="1" applyFill="1" applyBorder="1" applyAlignment="1">
      <alignment horizontal="justify" vertical="center" wrapText="1"/>
    </xf>
    <xf numFmtId="169" fontId="24" fillId="0" borderId="7" xfId="1" applyFont="1" applyFill="1" applyBorder="1" applyAlignment="1">
      <alignment horizontal="right" vertical="center"/>
    </xf>
    <xf numFmtId="43" fontId="2" fillId="0" borderId="0" xfId="4" applyNumberFormat="1" applyFont="1" applyFill="1" applyBorder="1" applyAlignment="1">
      <alignment horizontal="center" vertical="center"/>
    </xf>
    <xf numFmtId="164" fontId="2" fillId="0" borderId="0" xfId="4" applyNumberFormat="1" applyFont="1" applyFill="1" applyBorder="1" applyAlignment="1">
      <alignment horizontal="center" vertical="center"/>
    </xf>
    <xf numFmtId="1" fontId="24" fillId="0" borderId="1" xfId="4" applyNumberFormat="1" applyFont="1" applyFill="1" applyBorder="1" applyAlignment="1">
      <alignment horizontal="right" vertical="center"/>
    </xf>
    <xf numFmtId="1" fontId="24" fillId="0" borderId="1" xfId="1" applyNumberFormat="1" applyFont="1" applyFill="1" applyBorder="1" applyAlignment="1">
      <alignment horizontal="right" vertical="center"/>
    </xf>
    <xf numFmtId="1" fontId="26" fillId="0" borderId="1" xfId="1" applyNumberFormat="1" applyFont="1" applyFill="1" applyBorder="1" applyAlignment="1">
      <alignment horizontal="left" vertical="center" wrapText="1"/>
    </xf>
    <xf numFmtId="169" fontId="2" fillId="0" borderId="4" xfId="1" applyFont="1" applyFill="1" applyBorder="1" applyAlignment="1">
      <alignment horizontal="justify" vertical="center"/>
    </xf>
    <xf numFmtId="169" fontId="2" fillId="0" borderId="6" xfId="1" applyFont="1" applyFill="1" applyBorder="1" applyAlignment="1">
      <alignment horizontal="justify" vertical="center"/>
    </xf>
    <xf numFmtId="169" fontId="2" fillId="0" borderId="7" xfId="1" applyFont="1" applyFill="1" applyBorder="1" applyAlignment="1">
      <alignment horizontal="justify" vertical="center"/>
    </xf>
    <xf numFmtId="0" fontId="3" fillId="0" borderId="7" xfId="4" applyFont="1" applyFill="1" applyBorder="1" applyAlignment="1">
      <alignment vertical="center"/>
    </xf>
    <xf numFmtId="0" fontId="1" fillId="0" borderId="7" xfId="4" applyFont="1" applyFill="1" applyBorder="1" applyAlignment="1">
      <alignment vertical="center" shrinkToFit="1"/>
    </xf>
    <xf numFmtId="4" fontId="3" fillId="0" borderId="1" xfId="1" applyNumberFormat="1" applyFont="1" applyFill="1" applyBorder="1" applyAlignment="1">
      <alignment horizontal="left" vertical="center"/>
    </xf>
    <xf numFmtId="0" fontId="25" fillId="0" borderId="6" xfId="4" applyFont="1" applyFill="1" applyBorder="1" applyAlignment="1">
      <alignment horizontal="justify" vertical="center" wrapText="1"/>
    </xf>
    <xf numFmtId="175" fontId="24" fillId="0" borderId="0" xfId="2" applyNumberFormat="1" applyFont="1" applyFill="1" applyAlignment="1">
      <alignment horizontal="right" vertical="center"/>
    </xf>
    <xf numFmtId="4" fontId="3" fillId="0" borderId="1" xfId="1" applyNumberFormat="1" applyFont="1" applyFill="1" applyBorder="1" applyAlignment="1">
      <alignment horizontal="justify" vertical="center"/>
    </xf>
    <xf numFmtId="0" fontId="24" fillId="0" borderId="1" xfId="4" applyFont="1" applyFill="1" applyBorder="1" applyAlignment="1">
      <alignment horizontal="left" vertical="center"/>
    </xf>
    <xf numFmtId="170" fontId="24" fillId="0" borderId="1" xfId="1" applyNumberFormat="1" applyFont="1" applyFill="1" applyBorder="1" applyAlignment="1">
      <alignment horizontal="right" vertical="center" wrapText="1"/>
    </xf>
    <xf numFmtId="0" fontId="24" fillId="0" borderId="6" xfId="4" applyFont="1" applyFill="1" applyBorder="1" applyAlignment="1">
      <alignment horizontal="justify" vertical="center" wrapText="1"/>
    </xf>
    <xf numFmtId="1" fontId="24" fillId="0" borderId="4" xfId="1" applyNumberFormat="1" applyFont="1" applyFill="1" applyBorder="1" applyAlignment="1">
      <alignment horizontal="left" vertical="center"/>
    </xf>
    <xf numFmtId="1" fontId="24" fillId="0" borderId="7" xfId="1" applyNumberFormat="1" applyFont="1" applyFill="1" applyBorder="1" applyAlignment="1">
      <alignment horizontal="left" vertical="center"/>
    </xf>
    <xf numFmtId="0" fontId="24" fillId="0" borderId="1" xfId="4" applyFont="1" applyFill="1" applyBorder="1" applyAlignment="1">
      <alignment vertical="center"/>
    </xf>
    <xf numFmtId="175" fontId="3" fillId="0" borderId="7" xfId="2" applyNumberFormat="1" applyFont="1" applyFill="1" applyBorder="1" applyAlignment="1">
      <alignment horizontal="center" vertical="center"/>
    </xf>
    <xf numFmtId="169" fontId="3" fillId="0" borderId="17" xfId="1" applyFont="1" applyFill="1" applyBorder="1" applyAlignment="1">
      <alignment horizontal="center" vertical="center"/>
    </xf>
    <xf numFmtId="169" fontId="3" fillId="0" borderId="18" xfId="1" applyFont="1" applyFill="1" applyBorder="1" applyAlignment="1">
      <alignment horizontal="center" vertical="center"/>
    </xf>
    <xf numFmtId="1" fontId="26" fillId="0" borderId="1" xfId="4" applyNumberFormat="1" applyFont="1" applyFill="1" applyBorder="1" applyAlignment="1">
      <alignment horizontal="right" vertical="center"/>
    </xf>
    <xf numFmtId="0" fontId="2" fillId="0" borderId="7" xfId="4" applyFont="1" applyFill="1" applyBorder="1" applyAlignment="1">
      <alignment vertical="center" wrapText="1"/>
    </xf>
    <xf numFmtId="0" fontId="3" fillId="0" borderId="4" xfId="4" applyFont="1" applyFill="1" applyBorder="1" applyAlignment="1">
      <alignment horizontal="right" vertical="center" wrapText="1"/>
    </xf>
    <xf numFmtId="0" fontId="3" fillId="0" borderId="6" xfId="4" applyFont="1" applyFill="1" applyBorder="1" applyAlignment="1">
      <alignment horizontal="right" vertical="center" wrapText="1"/>
    </xf>
    <xf numFmtId="0" fontId="0" fillId="0" borderId="6" xfId="4" applyFont="1" applyFill="1" applyBorder="1" applyAlignment="1">
      <alignment vertical="center"/>
    </xf>
    <xf numFmtId="0" fontId="26" fillId="0" borderId="4" xfId="4" applyFont="1" applyFill="1" applyBorder="1" applyAlignment="1">
      <alignment horizontal="justify" vertical="center" wrapText="1"/>
    </xf>
    <xf numFmtId="0" fontId="2" fillId="0" borderId="1" xfId="4" applyFont="1" applyFill="1" applyBorder="1" applyAlignment="1">
      <alignment horizontal="justify" vertical="center"/>
    </xf>
    <xf numFmtId="0" fontId="2" fillId="0" borderId="4" xfId="4" applyFont="1" applyFill="1" applyBorder="1" applyAlignment="1">
      <alignment horizontal="left" vertical="center"/>
    </xf>
    <xf numFmtId="0" fontId="33" fillId="0" borderId="1" xfId="4" applyFont="1" applyFill="1" applyBorder="1" applyAlignment="1">
      <alignment horizontal="justify" vertical="center"/>
    </xf>
    <xf numFmtId="3" fontId="2" fillId="0" borderId="1" xfId="1" applyNumberFormat="1" applyFont="1" applyFill="1" applyBorder="1" applyAlignment="1">
      <alignment horizontal="right" vertical="center"/>
    </xf>
    <xf numFmtId="1" fontId="2" fillId="0" borderId="1" xfId="1" applyNumberFormat="1" applyFont="1" applyFill="1" applyBorder="1" applyAlignment="1">
      <alignment horizontal="left" vertical="center"/>
    </xf>
    <xf numFmtId="175" fontId="14" fillId="0" borderId="1" xfId="2" applyNumberFormat="1" applyFont="1" applyFill="1" applyBorder="1" applyAlignment="1">
      <alignment horizontal="right" vertical="center"/>
    </xf>
    <xf numFmtId="0" fontId="2" fillId="0" borderId="6" xfId="4" applyFont="1" applyFill="1" applyBorder="1" applyAlignment="1">
      <alignment horizontal="left" vertical="center"/>
    </xf>
    <xf numFmtId="0" fontId="33" fillId="0" borderId="1" xfId="4" applyFont="1" applyFill="1" applyBorder="1" applyAlignment="1">
      <alignment horizontal="justify" vertical="center" wrapText="1"/>
    </xf>
    <xf numFmtId="0" fontId="3" fillId="0" borderId="6" xfId="4" applyFont="1" applyFill="1" applyBorder="1" applyAlignment="1">
      <alignment horizontal="left" vertical="center"/>
    </xf>
    <xf numFmtId="3" fontId="3" fillId="0" borderId="1" xfId="4" applyNumberFormat="1" applyFont="1" applyFill="1" applyBorder="1" applyAlignment="1">
      <alignment vertical="center" wrapText="1"/>
    </xf>
    <xf numFmtId="3" fontId="24" fillId="0" borderId="1" xfId="4" applyNumberFormat="1" applyFont="1" applyFill="1" applyBorder="1" applyAlignment="1">
      <alignment vertical="center" wrapText="1"/>
    </xf>
    <xf numFmtId="3" fontId="24" fillId="0" borderId="1" xfId="4" applyNumberFormat="1" applyFont="1" applyFill="1" applyBorder="1" applyAlignment="1">
      <alignment horizontal="left" vertical="center" wrapText="1"/>
    </xf>
    <xf numFmtId="170" fontId="24" fillId="0" borderId="7" xfId="1" applyNumberFormat="1" applyFont="1" applyFill="1" applyBorder="1" applyAlignment="1">
      <alignment horizontal="left" vertical="center" wrapText="1"/>
    </xf>
    <xf numFmtId="3" fontId="26" fillId="0" borderId="1" xfId="4" applyNumberFormat="1" applyFont="1" applyFill="1" applyBorder="1" applyAlignment="1">
      <alignment vertical="center" wrapText="1"/>
    </xf>
    <xf numFmtId="3" fontId="3" fillId="0" borderId="4" xfId="4" applyNumberFormat="1" applyFont="1" applyFill="1" applyBorder="1" applyAlignment="1">
      <alignment horizontal="left" vertical="center" wrapText="1"/>
    </xf>
    <xf numFmtId="0" fontId="3" fillId="0" borderId="7" xfId="4" applyFont="1" applyFill="1" applyBorder="1" applyAlignment="1">
      <alignment horizontal="left" vertical="center"/>
    </xf>
    <xf numFmtId="0" fontId="3" fillId="0" borderId="4" xfId="4" applyFont="1" applyFill="1" applyBorder="1" applyAlignment="1">
      <alignment horizontal="center" vertical="center" wrapText="1"/>
    </xf>
    <xf numFmtId="3" fontId="3" fillId="0" borderId="1" xfId="4" applyNumberFormat="1" applyFont="1" applyFill="1" applyBorder="1" applyAlignment="1">
      <alignment horizontal="left" vertical="center" wrapText="1"/>
    </xf>
    <xf numFmtId="0" fontId="3" fillId="0" borderId="4" xfId="4" applyFont="1" applyFill="1" applyBorder="1" applyAlignment="1">
      <alignment horizontal="right" vertical="center"/>
    </xf>
    <xf numFmtId="43" fontId="3" fillId="0" borderId="0" xfId="4" applyNumberFormat="1" applyFont="1" applyFill="1" applyBorder="1" applyAlignment="1">
      <alignment vertical="center"/>
    </xf>
    <xf numFmtId="0" fontId="3" fillId="0" borderId="6" xfId="4" applyFont="1" applyFill="1" applyBorder="1" applyAlignment="1">
      <alignment horizontal="right" vertical="center"/>
    </xf>
    <xf numFmtId="0" fontId="3" fillId="0" borderId="8" xfId="4" applyFont="1" applyFill="1" applyBorder="1" applyAlignment="1">
      <alignment horizontal="right" vertical="center"/>
    </xf>
    <xf numFmtId="0" fontId="3" fillId="0" borderId="1" xfId="4" applyFont="1" applyFill="1" applyBorder="1" applyAlignment="1">
      <alignment horizontal="right" vertical="center" wrapText="1"/>
    </xf>
    <xf numFmtId="0" fontId="25" fillId="0" borderId="1" xfId="4" applyFont="1" applyFill="1" applyBorder="1" applyAlignment="1">
      <alignment horizontal="justify" vertical="center" wrapText="1"/>
    </xf>
    <xf numFmtId="0" fontId="2" fillId="0" borderId="1" xfId="4" applyFont="1" applyFill="1" applyBorder="1" applyAlignment="1">
      <alignment horizontal="right" vertical="center" wrapText="1"/>
    </xf>
    <xf numFmtId="4" fontId="24" fillId="0" borderId="1" xfId="1" applyNumberFormat="1" applyFont="1" applyFill="1" applyBorder="1" applyAlignment="1">
      <alignment horizontal="left" vertical="center"/>
    </xf>
    <xf numFmtId="1" fontId="24" fillId="0" borderId="1" xfId="1" applyNumberFormat="1" applyFont="1" applyFill="1" applyBorder="1" applyAlignment="1">
      <alignment horizontal="left" vertical="center"/>
    </xf>
    <xf numFmtId="175" fontId="24" fillId="0" borderId="1" xfId="2" applyNumberFormat="1" applyFont="1" applyFill="1" applyBorder="1" applyAlignment="1">
      <alignment horizontal="right" vertical="center"/>
    </xf>
    <xf numFmtId="1" fontId="3" fillId="0" borderId="6" xfId="4" applyNumberFormat="1" applyFont="1" applyFill="1" applyBorder="1" applyAlignment="1">
      <alignment horizontal="left" vertical="center" wrapText="1"/>
    </xf>
    <xf numFmtId="1" fontId="24" fillId="0" borderId="19" xfId="4" applyNumberFormat="1" applyFont="1" applyFill="1" applyBorder="1" applyAlignment="1">
      <alignment horizontal="justify" vertical="center" wrapText="1"/>
    </xf>
    <xf numFmtId="0" fontId="25" fillId="0" borderId="6" xfId="4" applyFont="1" applyFill="1" applyBorder="1" applyAlignment="1">
      <alignment vertical="center"/>
    </xf>
    <xf numFmtId="169" fontId="25" fillId="0" borderId="1" xfId="1" applyFont="1" applyFill="1" applyBorder="1" applyAlignment="1">
      <alignment horizontal="right" vertical="center"/>
    </xf>
    <xf numFmtId="0" fontId="3" fillId="0" borderId="7" xfId="4" applyFont="1" applyFill="1" applyBorder="1" applyAlignment="1">
      <alignment horizontal="justify" vertical="center"/>
    </xf>
    <xf numFmtId="0" fontId="25" fillId="0" borderId="7" xfId="4" applyFont="1" applyFill="1" applyBorder="1" applyAlignment="1">
      <alignment horizontal="justify" vertical="center" wrapText="1"/>
    </xf>
    <xf numFmtId="169" fontId="26" fillId="0" borderId="0" xfId="1" applyFont="1" applyFill="1" applyBorder="1" applyAlignment="1">
      <alignment horizontal="right" vertical="center"/>
    </xf>
    <xf numFmtId="0" fontId="26" fillId="0" borderId="6" xfId="4" applyFont="1" applyFill="1" applyBorder="1" applyAlignment="1">
      <alignment horizontal="justify" vertical="center" wrapText="1"/>
    </xf>
    <xf numFmtId="0" fontId="2" fillId="0" borderId="16" xfId="2"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69" fontId="26" fillId="0" borderId="1" xfId="1" applyFont="1" applyFill="1" applyBorder="1" applyAlignment="1">
      <alignment horizontal="center" vertical="center"/>
    </xf>
    <xf numFmtId="169" fontId="26" fillId="0" borderId="4" xfId="1" applyFont="1" applyFill="1" applyBorder="1" applyAlignment="1">
      <alignment horizontal="center" vertical="center"/>
    </xf>
    <xf numFmtId="169" fontId="2" fillId="0" borderId="1" xfId="1" applyFont="1" applyFill="1" applyBorder="1" applyAlignment="1">
      <alignment horizontal="center" vertical="center"/>
    </xf>
    <xf numFmtId="169" fontId="2" fillId="0" borderId="6" xfId="1" applyFont="1" applyFill="1" applyBorder="1" applyAlignment="1">
      <alignment horizontal="right" vertical="center"/>
    </xf>
    <xf numFmtId="169" fontId="2" fillId="0" borderId="7" xfId="1" applyFont="1" applyFill="1" applyBorder="1" applyAlignment="1">
      <alignment horizontal="center" vertical="center"/>
    </xf>
    <xf numFmtId="175" fontId="23" fillId="16" borderId="1" xfId="2" applyNumberFormat="1" applyFont="1" applyFill="1" applyBorder="1" applyAlignment="1">
      <alignment vertical="center"/>
    </xf>
    <xf numFmtId="175" fontId="23" fillId="16" borderId="1" xfId="1" applyNumberFormat="1" applyFont="1" applyFill="1" applyBorder="1" applyAlignment="1">
      <alignment vertical="center"/>
    </xf>
    <xf numFmtId="175" fontId="23" fillId="4" borderId="1" xfId="2" applyNumberFormat="1" applyFont="1" applyFill="1" applyBorder="1" applyAlignment="1">
      <alignment vertical="center"/>
    </xf>
    <xf numFmtId="175" fontId="23" fillId="4" borderId="1" xfId="1" applyNumberFormat="1" applyFont="1" applyFill="1" applyBorder="1" applyAlignment="1">
      <alignment vertical="center"/>
    </xf>
    <xf numFmtId="175" fontId="22" fillId="0" borderId="4" xfId="2" applyNumberFormat="1" applyFont="1" applyFill="1" applyBorder="1" applyAlignment="1">
      <alignment vertical="center"/>
    </xf>
    <xf numFmtId="175" fontId="22" fillId="0" borderId="4" xfId="1" applyNumberFormat="1" applyFont="1" applyFill="1" applyBorder="1" applyAlignment="1">
      <alignment vertical="center"/>
    </xf>
    <xf numFmtId="0" fontId="23" fillId="4" borderId="1" xfId="2" applyNumberFormat="1" applyFont="1" applyFill="1" applyBorder="1" applyAlignment="1">
      <alignment vertical="center"/>
    </xf>
    <xf numFmtId="175" fontId="22" fillId="2" borderId="7" xfId="2" applyNumberFormat="1" applyFont="1" applyFill="1" applyBorder="1" applyAlignment="1">
      <alignment vertical="center"/>
    </xf>
    <xf numFmtId="175" fontId="22" fillId="2" borderId="7" xfId="1" applyNumberFormat="1" applyFont="1" applyFill="1" applyBorder="1" applyAlignment="1">
      <alignment vertical="center"/>
    </xf>
    <xf numFmtId="175" fontId="22" fillId="2" borderId="1" xfId="1" applyNumberFormat="1" applyFont="1" applyFill="1" applyBorder="1" applyAlignment="1">
      <alignment vertical="center"/>
    </xf>
    <xf numFmtId="175" fontId="23" fillId="0" borderId="1" xfId="2" applyNumberFormat="1" applyFont="1" applyFill="1" applyBorder="1" applyAlignment="1">
      <alignment vertical="center"/>
    </xf>
    <xf numFmtId="175" fontId="22" fillId="0" borderId="1" xfId="1" applyNumberFormat="1" applyFont="1" applyFill="1" applyBorder="1" applyAlignment="1">
      <alignment vertical="center"/>
    </xf>
    <xf numFmtId="175" fontId="23" fillId="4" borderId="6" xfId="2" applyNumberFormat="1" applyFont="1" applyFill="1" applyBorder="1" applyAlignment="1">
      <alignment vertical="center"/>
    </xf>
    <xf numFmtId="175" fontId="23" fillId="4" borderId="6" xfId="1" applyNumberFormat="1" applyFont="1" applyFill="1" applyBorder="1" applyAlignment="1">
      <alignment vertical="center"/>
    </xf>
    <xf numFmtId="175" fontId="21" fillId="0" borderId="0" xfId="2" applyNumberFormat="1" applyFont="1" applyFill="1" applyAlignment="1">
      <alignment vertical="center"/>
    </xf>
    <xf numFmtId="175" fontId="22" fillId="0" borderId="1" xfId="2" applyNumberFormat="1" applyFont="1" applyFill="1" applyBorder="1" applyAlignment="1">
      <alignment vertical="center"/>
    </xf>
    <xf numFmtId="175" fontId="21" fillId="0" borderId="7" xfId="2" applyNumberFormat="1" applyFont="1" applyFill="1" applyBorder="1" applyAlignment="1">
      <alignment vertical="center"/>
    </xf>
    <xf numFmtId="175" fontId="21" fillId="0" borderId="0" xfId="4" applyNumberFormat="1" applyFont="1" applyFill="1" applyAlignment="1">
      <alignment vertical="center"/>
    </xf>
    <xf numFmtId="175" fontId="22" fillId="0" borderId="7" xfId="1" applyNumberFormat="1" applyFont="1" applyFill="1" applyBorder="1" applyAlignment="1">
      <alignment vertical="center"/>
    </xf>
    <xf numFmtId="175" fontId="21" fillId="0" borderId="1" xfId="2" applyNumberFormat="1" applyFont="1" applyFill="1" applyBorder="1" applyAlignment="1">
      <alignment vertical="center"/>
    </xf>
    <xf numFmtId="175" fontId="22" fillId="0" borderId="5" xfId="2" applyNumberFormat="1" applyFont="1" applyFill="1" applyBorder="1" applyAlignment="1">
      <alignment vertical="center"/>
    </xf>
    <xf numFmtId="0" fontId="22" fillId="0" borderId="5" xfId="2" applyNumberFormat="1" applyFont="1" applyFill="1" applyBorder="1" applyAlignment="1">
      <alignment vertical="center"/>
    </xf>
    <xf numFmtId="175" fontId="21" fillId="0" borderId="1" xfId="4" applyNumberFormat="1" applyFont="1" applyFill="1" applyBorder="1" applyAlignment="1">
      <alignment vertical="center"/>
    </xf>
    <xf numFmtId="175" fontId="22" fillId="0" borderId="7" xfId="2" applyNumberFormat="1" applyFont="1" applyFill="1" applyBorder="1" applyAlignment="1">
      <alignment vertical="center"/>
    </xf>
    <xf numFmtId="0" fontId="22" fillId="0" borderId="7" xfId="2" applyNumberFormat="1" applyFont="1" applyFill="1" applyBorder="1" applyAlignment="1">
      <alignment vertical="center"/>
    </xf>
    <xf numFmtId="175" fontId="22" fillId="0" borderId="5" xfId="1" applyNumberFormat="1" applyFont="1" applyFill="1" applyBorder="1" applyAlignment="1">
      <alignment vertical="center"/>
    </xf>
    <xf numFmtId="175" fontId="23" fillId="16" borderId="7" xfId="2" applyNumberFormat="1" applyFont="1" applyFill="1" applyBorder="1" applyAlignment="1">
      <alignment vertical="center"/>
    </xf>
    <xf numFmtId="175" fontId="23" fillId="16" borderId="7" xfId="1" applyNumberFormat="1" applyFont="1" applyFill="1" applyBorder="1" applyAlignment="1">
      <alignment vertical="center"/>
    </xf>
    <xf numFmtId="175" fontId="57" fillId="0" borderId="1" xfId="2" applyNumberFormat="1" applyFont="1" applyFill="1" applyBorder="1" applyAlignment="1">
      <alignment vertical="center"/>
    </xf>
    <xf numFmtId="175" fontId="57" fillId="0" borderId="1" xfId="4" applyNumberFormat="1" applyFont="1" applyFill="1" applyBorder="1" applyAlignment="1">
      <alignment vertical="center"/>
    </xf>
    <xf numFmtId="175" fontId="57" fillId="0" borderId="7" xfId="4" applyNumberFormat="1" applyFont="1" applyFill="1" applyBorder="1" applyAlignment="1">
      <alignment vertical="center"/>
    </xf>
    <xf numFmtId="175" fontId="22" fillId="2" borderId="1" xfId="2" applyNumberFormat="1" applyFont="1" applyFill="1" applyBorder="1" applyAlignment="1">
      <alignment vertical="center"/>
    </xf>
    <xf numFmtId="169" fontId="23" fillId="16" borderId="1" xfId="1" applyFont="1" applyFill="1" applyBorder="1" applyAlignment="1">
      <alignment vertical="center"/>
    </xf>
    <xf numFmtId="169" fontId="23" fillId="4" borderId="1" xfId="1" applyFont="1" applyFill="1" applyBorder="1" applyAlignment="1">
      <alignment vertical="center"/>
    </xf>
    <xf numFmtId="174" fontId="21" fillId="0" borderId="1" xfId="4" applyNumberFormat="1" applyFont="1" applyFill="1" applyBorder="1" applyAlignment="1">
      <alignment vertical="center" wrapText="1"/>
    </xf>
    <xf numFmtId="169" fontId="22" fillId="2" borderId="1" xfId="1" applyFont="1" applyFill="1" applyBorder="1" applyAlignment="1">
      <alignment vertical="center"/>
    </xf>
    <xf numFmtId="169" fontId="23" fillId="4" borderId="4" xfId="1" applyFont="1" applyFill="1" applyBorder="1" applyAlignment="1">
      <alignment vertical="center"/>
    </xf>
    <xf numFmtId="43" fontId="23" fillId="16" borderId="1" xfId="1" applyNumberFormat="1" applyFont="1" applyFill="1" applyBorder="1" applyAlignment="1">
      <alignment vertical="center" wrapText="1"/>
    </xf>
    <xf numFmtId="169" fontId="22" fillId="0" borderId="1" xfId="1" applyFont="1" applyFill="1" applyBorder="1" applyAlignment="1">
      <alignment vertical="center" wrapText="1"/>
    </xf>
    <xf numFmtId="174" fontId="21" fillId="0" borderId="1" xfId="4" applyNumberFormat="1" applyFont="1" applyFill="1" applyBorder="1" applyAlignment="1">
      <alignment vertical="center"/>
    </xf>
    <xf numFmtId="169" fontId="23" fillId="0" borderId="1" xfId="1" applyFont="1" applyFill="1" applyBorder="1" applyAlignment="1">
      <alignment vertical="center"/>
    </xf>
    <xf numFmtId="174" fontId="21" fillId="0" borderId="0" xfId="4" applyNumberFormat="1" applyFont="1" applyFill="1" applyAlignment="1">
      <alignment vertical="center"/>
    </xf>
    <xf numFmtId="164" fontId="53" fillId="24" borderId="16" xfId="2" applyFont="1" applyFill="1" applyBorder="1" applyAlignment="1">
      <alignment horizontal="right" vertical="center" wrapText="1"/>
    </xf>
    <xf numFmtId="164" fontId="23" fillId="16" borderId="1" xfId="2" applyFont="1" applyFill="1" applyBorder="1" applyAlignment="1">
      <alignment horizontal="right" vertical="center"/>
    </xf>
    <xf numFmtId="164" fontId="23" fillId="4" borderId="1" xfId="2" applyFont="1" applyFill="1" applyBorder="1" applyAlignment="1">
      <alignment horizontal="right" vertical="center"/>
    </xf>
    <xf numFmtId="164" fontId="22" fillId="0" borderId="4" xfId="2" applyFont="1" applyFill="1" applyBorder="1" applyAlignment="1">
      <alignment horizontal="right" vertical="center"/>
    </xf>
    <xf numFmtId="164" fontId="22" fillId="2" borderId="7" xfId="2" applyFont="1" applyFill="1" applyBorder="1" applyAlignment="1">
      <alignment horizontal="right" vertical="center"/>
    </xf>
    <xf numFmtId="164" fontId="23" fillId="4" borderId="6" xfId="2" applyFont="1" applyFill="1" applyBorder="1" applyAlignment="1">
      <alignment horizontal="right" vertical="center"/>
    </xf>
    <xf numFmtId="164" fontId="21" fillId="0" borderId="1" xfId="2" applyFont="1" applyFill="1" applyBorder="1" applyAlignment="1">
      <alignment horizontal="right" vertical="center"/>
    </xf>
    <xf numFmtId="164" fontId="22" fillId="0" borderId="1" xfId="2" applyFont="1" applyFill="1" applyBorder="1" applyAlignment="1">
      <alignment horizontal="right" vertical="center"/>
    </xf>
    <xf numFmtId="164" fontId="22" fillId="0" borderId="7" xfId="2" applyFont="1" applyFill="1" applyBorder="1" applyAlignment="1">
      <alignment horizontal="right" vertical="center"/>
    </xf>
    <xf numFmtId="164" fontId="23" fillId="16" borderId="7" xfId="2" applyFont="1" applyFill="1" applyBorder="1" applyAlignment="1">
      <alignment horizontal="right" vertical="center"/>
    </xf>
    <xf numFmtId="164" fontId="57" fillId="0" borderId="1" xfId="2" applyFont="1" applyFill="1" applyBorder="1" applyAlignment="1">
      <alignment horizontal="right" vertical="center"/>
    </xf>
    <xf numFmtId="164" fontId="22" fillId="2" borderId="1" xfId="2" applyFont="1" applyFill="1" applyBorder="1" applyAlignment="1">
      <alignment horizontal="right" vertical="center"/>
    </xf>
    <xf numFmtId="164" fontId="23" fillId="0" borderId="1" xfId="2" applyFont="1" applyFill="1" applyBorder="1" applyAlignment="1">
      <alignment horizontal="right" vertical="center"/>
    </xf>
    <xf numFmtId="164" fontId="3" fillId="2" borderId="0" xfId="2" applyFont="1" applyFill="1" applyBorder="1" applyAlignment="1">
      <alignment horizontal="right" vertical="center"/>
    </xf>
    <xf numFmtId="164" fontId="23" fillId="16" borderId="1" xfId="2" applyFont="1" applyFill="1" applyBorder="1" applyAlignment="1">
      <alignment horizontal="right" vertical="center" wrapText="1"/>
    </xf>
    <xf numFmtId="164" fontId="56" fillId="0" borderId="1" xfId="2" applyFont="1" applyFill="1" applyBorder="1" applyAlignment="1">
      <alignment horizontal="right" vertical="center"/>
    </xf>
    <xf numFmtId="164" fontId="23" fillId="2" borderId="1" xfId="2" applyFont="1" applyFill="1" applyBorder="1" applyAlignment="1">
      <alignment horizontal="right" vertical="center"/>
    </xf>
    <xf numFmtId="164" fontId="21" fillId="0" borderId="0" xfId="2" applyFont="1" applyFill="1" applyAlignment="1">
      <alignment horizontal="right" vertical="center"/>
    </xf>
    <xf numFmtId="164" fontId="2" fillId="25" borderId="1" xfId="2" applyFont="1" applyFill="1" applyBorder="1" applyAlignment="1">
      <alignment horizontal="center" vertical="center" wrapText="1"/>
    </xf>
    <xf numFmtId="0" fontId="42" fillId="3" borderId="0" xfId="4" applyFont="1" applyFill="1" applyBorder="1" applyAlignment="1">
      <alignment horizontal="center" vertical="center" wrapText="1"/>
    </xf>
    <xf numFmtId="4" fontId="41" fillId="7" borderId="0" xfId="4" applyNumberFormat="1" applyFont="1" applyFill="1" applyBorder="1" applyAlignment="1">
      <alignment horizontal="center" wrapText="1"/>
    </xf>
    <xf numFmtId="4" fontId="41" fillId="0" borderId="0" xfId="4" applyNumberFormat="1" applyFont="1" applyFill="1" applyBorder="1" applyAlignment="1">
      <alignment horizontal="center" wrapText="1"/>
    </xf>
    <xf numFmtId="4" fontId="41" fillId="20" borderId="0" xfId="4" applyNumberFormat="1" applyFont="1" applyFill="1" applyBorder="1" applyAlignment="1">
      <alignment horizontal="center" wrapText="1"/>
    </xf>
    <xf numFmtId="4" fontId="38" fillId="0" borderId="0" xfId="4" applyNumberFormat="1" applyFont="1" applyFill="1" applyBorder="1" applyAlignment="1">
      <alignment horizontal="center" vertical="center" wrapText="1"/>
    </xf>
    <xf numFmtId="0" fontId="41" fillId="26" borderId="2" xfId="4" applyFont="1" applyFill="1" applyBorder="1" applyAlignment="1">
      <alignment vertical="center" wrapText="1"/>
    </xf>
    <xf numFmtId="0" fontId="41" fillId="26" borderId="0" xfId="4" applyFont="1" applyFill="1" applyBorder="1" applyAlignment="1">
      <alignment vertical="center" wrapText="1"/>
    </xf>
    <xf numFmtId="4" fontId="58" fillId="0" borderId="1" xfId="4" applyNumberFormat="1" applyFont="1" applyFill="1" applyBorder="1" applyAlignment="1">
      <alignment horizontal="center" vertical="center" wrapText="1"/>
    </xf>
    <xf numFmtId="0" fontId="38" fillId="0" borderId="1" xfId="4" applyFont="1" applyFill="1" applyBorder="1" applyAlignment="1">
      <alignment horizontal="center" vertical="center" wrapText="1"/>
    </xf>
    <xf numFmtId="0" fontId="41" fillId="0" borderId="1" xfId="4" applyFont="1" applyFill="1" applyBorder="1" applyAlignment="1">
      <alignment horizontal="left" vertical="center" wrapText="1"/>
    </xf>
    <xf numFmtId="3" fontId="41" fillId="0" borderId="1" xfId="4" applyNumberFormat="1" applyFont="1" applyBorder="1" applyAlignment="1">
      <alignment horizontal="left" wrapText="1"/>
    </xf>
    <xf numFmtId="3" fontId="41" fillId="20" borderId="1" xfId="4" applyNumberFormat="1" applyFont="1" applyFill="1" applyBorder="1" applyAlignment="1">
      <alignment horizontal="left" wrapText="1"/>
    </xf>
    <xf numFmtId="0" fontId="38" fillId="3" borderId="0" xfId="4" applyFont="1" applyFill="1" applyBorder="1" applyAlignment="1">
      <alignment horizontal="left" vertical="center" wrapText="1"/>
    </xf>
    <xf numFmtId="0" fontId="1" fillId="0" borderId="0" xfId="0" applyFont="1"/>
    <xf numFmtId="0" fontId="1" fillId="0" borderId="0" xfId="4" applyNumberFormat="1" applyFont="1" applyFill="1" applyBorder="1" applyAlignment="1" applyProtection="1">
      <alignment wrapText="1"/>
    </xf>
    <xf numFmtId="0" fontId="3" fillId="0" borderId="1" xfId="4" applyFont="1" applyFill="1" applyBorder="1" applyAlignment="1">
      <alignment horizontal="left" vertical="center" wrapText="1"/>
    </xf>
    <xf numFmtId="0" fontId="24" fillId="0" borderId="4" xfId="4" applyFont="1" applyFill="1" applyBorder="1" applyAlignment="1">
      <alignment horizontal="justify" vertical="center" wrapText="1"/>
    </xf>
    <xf numFmtId="169" fontId="3" fillId="0" borderId="4" xfId="1" applyFont="1" applyFill="1" applyBorder="1" applyAlignment="1">
      <alignment horizontal="right" vertical="center"/>
    </xf>
    <xf numFmtId="175" fontId="3" fillId="0" borderId="4" xfId="2" applyNumberFormat="1" applyFont="1" applyFill="1" applyBorder="1" applyAlignment="1">
      <alignment horizontal="right" vertical="center"/>
    </xf>
    <xf numFmtId="164" fontId="21" fillId="0" borderId="1" xfId="2" applyFont="1" applyFill="1" applyBorder="1" applyAlignment="1">
      <alignment horizontal="right" vertical="center"/>
    </xf>
    <xf numFmtId="169" fontId="3" fillId="0" borderId="1" xfId="1" applyFont="1" applyFill="1" applyBorder="1" applyAlignment="1">
      <alignment horizontal="right" vertical="center"/>
    </xf>
    <xf numFmtId="164" fontId="2" fillId="21" borderId="1" xfId="2" applyFont="1" applyFill="1" applyBorder="1" applyAlignment="1">
      <alignment horizontal="center" vertical="center" wrapText="1"/>
    </xf>
    <xf numFmtId="0" fontId="3" fillId="0" borderId="1" xfId="4" applyFont="1" applyFill="1" applyBorder="1" applyAlignment="1">
      <alignment horizontal="left" vertical="center"/>
    </xf>
    <xf numFmtId="1" fontId="3" fillId="0" borderId="7" xfId="4" applyNumberFormat="1" applyFont="1" applyFill="1" applyBorder="1" applyAlignment="1">
      <alignment horizontal="right" vertical="center"/>
    </xf>
    <xf numFmtId="1" fontId="3" fillId="0" borderId="1" xfId="1" applyNumberFormat="1" applyFont="1" applyFill="1" applyBorder="1" applyAlignment="1">
      <alignment horizontal="right" vertical="center" wrapText="1"/>
    </xf>
    <xf numFmtId="0" fontId="3" fillId="0" borderId="7" xfId="4" applyFont="1" applyFill="1" applyBorder="1" applyAlignment="1">
      <alignment horizontal="left" vertical="center" wrapText="1"/>
    </xf>
    <xf numFmtId="0" fontId="3" fillId="0" borderId="7" xfId="4" applyFont="1" applyFill="1" applyBorder="1" applyAlignment="1">
      <alignment horizontal="right" vertical="center" wrapText="1"/>
    </xf>
    <xf numFmtId="0" fontId="3" fillId="0" borderId="7" xfId="4" applyFont="1" applyFill="1" applyBorder="1" applyAlignment="1">
      <alignment horizontal="right" vertical="center"/>
    </xf>
    <xf numFmtId="0" fontId="24" fillId="0" borderId="1" xfId="4" applyFont="1" applyFill="1" applyBorder="1" applyAlignment="1">
      <alignment horizontal="justify" vertical="center" wrapText="1"/>
    </xf>
    <xf numFmtId="3" fontId="3" fillId="0" borderId="1" xfId="1" applyNumberFormat="1" applyFont="1" applyFill="1" applyBorder="1" applyAlignment="1">
      <alignment horizontal="left" vertical="center" wrapText="1"/>
    </xf>
    <xf numFmtId="0" fontId="6" fillId="0" borderId="1" xfId="4" applyFont="1" applyFill="1" applyBorder="1" applyAlignment="1">
      <alignment horizontal="justify" vertical="center" wrapText="1"/>
    </xf>
    <xf numFmtId="4" fontId="24" fillId="0" borderId="4" xfId="1" applyNumberFormat="1" applyFont="1" applyFill="1" applyBorder="1" applyAlignment="1">
      <alignment horizontal="right" vertical="center" wrapText="1"/>
    </xf>
    <xf numFmtId="0" fontId="24" fillId="0" borderId="1" xfId="4" applyFont="1" applyFill="1" applyBorder="1" applyAlignment="1">
      <alignment horizontal="justify" vertical="center"/>
    </xf>
    <xf numFmtId="4" fontId="24" fillId="0" borderId="1" xfId="1" applyNumberFormat="1" applyFont="1" applyFill="1" applyBorder="1" applyAlignment="1">
      <alignment horizontal="justify" vertical="center" wrapText="1"/>
    </xf>
    <xf numFmtId="0" fontId="28" fillId="0" borderId="1" xfId="4" applyFont="1" applyFill="1" applyBorder="1" applyAlignment="1">
      <alignment horizontal="justify" vertical="center" wrapText="1"/>
    </xf>
    <xf numFmtId="1" fontId="2" fillId="29" borderId="1" xfId="4" applyNumberFormat="1" applyFont="1" applyFill="1" applyBorder="1" applyAlignment="1">
      <alignment horizontal="right" vertical="center"/>
    </xf>
    <xf numFmtId="0" fontId="52" fillId="13" borderId="8" xfId="4" applyFont="1" applyFill="1" applyBorder="1" applyAlignment="1">
      <alignment horizontal="center" vertical="center" wrapText="1"/>
    </xf>
    <xf numFmtId="4" fontId="49" fillId="4" borderId="8" xfId="4" applyNumberFormat="1" applyFont="1" applyFill="1" applyBorder="1" applyAlignment="1">
      <alignment horizontal="center" vertical="center" wrapText="1"/>
    </xf>
    <xf numFmtId="4" fontId="49" fillId="0" borderId="8" xfId="4" applyNumberFormat="1" applyFont="1" applyFill="1" applyBorder="1" applyAlignment="1">
      <alignment horizontal="center" vertical="center" wrapText="1"/>
    </xf>
    <xf numFmtId="176" fontId="49" fillId="0" borderId="8" xfId="4" applyNumberFormat="1" applyFont="1" applyFill="1" applyBorder="1" applyAlignment="1">
      <alignment horizontal="center" vertical="center" wrapText="1"/>
    </xf>
    <xf numFmtId="4" fontId="58" fillId="0" borderId="8" xfId="4" applyNumberFormat="1" applyFont="1" applyFill="1" applyBorder="1" applyAlignment="1">
      <alignment horizontal="center" vertical="center" wrapText="1"/>
    </xf>
    <xf numFmtId="2" fontId="44" fillId="21" borderId="15" xfId="4" applyNumberFormat="1" applyFont="1" applyFill="1" applyBorder="1" applyAlignment="1">
      <alignment horizontal="center" vertical="center"/>
    </xf>
    <xf numFmtId="0" fontId="60" fillId="33" borderId="24" xfId="4" applyFont="1" applyFill="1" applyBorder="1" applyAlignment="1">
      <alignment horizontal="center" vertical="center" wrapText="1"/>
    </xf>
    <xf numFmtId="0" fontId="60" fillId="33" borderId="23" xfId="4" applyFont="1" applyFill="1" applyBorder="1" applyAlignment="1">
      <alignment horizontal="center" vertical="center" wrapText="1"/>
    </xf>
    <xf numFmtId="4" fontId="61" fillId="30" borderId="23" xfId="4" applyNumberFormat="1" applyFont="1" applyFill="1" applyBorder="1" applyAlignment="1">
      <alignment horizontal="center" vertical="center" wrapText="1"/>
    </xf>
    <xf numFmtId="0" fontId="62" fillId="30" borderId="24" xfId="4" applyFont="1" applyFill="1" applyBorder="1" applyAlignment="1">
      <alignment vertical="center" wrapText="1"/>
    </xf>
    <xf numFmtId="0" fontId="63" fillId="32" borderId="24" xfId="4" applyFont="1" applyFill="1" applyBorder="1" applyAlignment="1">
      <alignment horizontal="left" vertical="center" wrapText="1"/>
    </xf>
    <xf numFmtId="4" fontId="63" fillId="32" borderId="23" xfId="4" applyNumberFormat="1" applyFont="1" applyFill="1" applyBorder="1" applyAlignment="1">
      <alignment horizontal="center" vertical="center" wrapText="1"/>
    </xf>
    <xf numFmtId="164" fontId="22" fillId="0" borderId="4" xfId="2" applyFont="1" applyFill="1" applyBorder="1" applyAlignment="1">
      <alignment horizontal="right" vertical="center" wrapText="1"/>
    </xf>
    <xf numFmtId="164" fontId="22" fillId="0" borderId="7" xfId="2" applyFont="1" applyFill="1" applyBorder="1" applyAlignment="1">
      <alignment horizontal="right" vertical="center" wrapText="1"/>
    </xf>
    <xf numFmtId="164" fontId="2" fillId="21" borderId="1" xfId="2" applyFont="1" applyFill="1" applyBorder="1" applyAlignment="1">
      <alignment horizontal="center" vertical="center" wrapText="1"/>
    </xf>
    <xf numFmtId="164" fontId="23" fillId="4" borderId="1" xfId="2" applyFont="1" applyFill="1" applyBorder="1" applyAlignment="1">
      <alignment horizontal="right" vertical="center" wrapText="1"/>
    </xf>
    <xf numFmtId="164" fontId="22" fillId="2" borderId="7" xfId="2" applyFont="1" applyFill="1" applyBorder="1" applyAlignment="1">
      <alignment horizontal="right" vertical="center" wrapText="1"/>
    </xf>
    <xf numFmtId="164" fontId="23" fillId="4" borderId="6" xfId="2" applyFont="1" applyFill="1" applyBorder="1" applyAlignment="1">
      <alignment horizontal="right" vertical="center" wrapText="1"/>
    </xf>
    <xf numFmtId="164" fontId="21" fillId="0" borderId="1" xfId="2" applyFont="1" applyFill="1" applyBorder="1" applyAlignment="1">
      <alignment horizontal="right" vertical="center" wrapText="1"/>
    </xf>
    <xf numFmtId="164" fontId="21" fillId="0" borderId="7" xfId="2" applyFont="1" applyFill="1" applyBorder="1" applyAlignment="1">
      <alignment horizontal="right" vertical="center" wrapText="1"/>
    </xf>
    <xf numFmtId="164" fontId="22" fillId="0" borderId="1" xfId="2" applyFont="1" applyFill="1" applyBorder="1" applyAlignment="1">
      <alignment horizontal="right" vertical="center" wrapText="1"/>
    </xf>
    <xf numFmtId="164" fontId="23" fillId="16" borderId="7" xfId="2" applyFont="1" applyFill="1" applyBorder="1" applyAlignment="1">
      <alignment horizontal="right" vertical="center" wrapText="1"/>
    </xf>
    <xf numFmtId="164" fontId="57" fillId="0" borderId="1" xfId="2" applyFont="1" applyFill="1" applyBorder="1" applyAlignment="1">
      <alignment horizontal="right" vertical="center" wrapText="1"/>
    </xf>
    <xf numFmtId="164" fontId="22" fillId="2" borderId="1" xfId="2" applyFont="1" applyFill="1" applyBorder="1" applyAlignment="1">
      <alignment horizontal="right" vertical="center" wrapText="1"/>
    </xf>
    <xf numFmtId="164" fontId="23" fillId="0" borderId="1" xfId="2" applyFont="1" applyFill="1" applyBorder="1" applyAlignment="1">
      <alignment horizontal="right" vertical="center" wrapText="1"/>
    </xf>
    <xf numFmtId="164" fontId="3" fillId="2" borderId="0" xfId="2" applyFont="1" applyFill="1" applyBorder="1" applyAlignment="1">
      <alignment horizontal="right" vertical="center" wrapText="1"/>
    </xf>
    <xf numFmtId="164" fontId="21" fillId="0" borderId="7" xfId="2" applyFont="1" applyFill="1" applyBorder="1" applyAlignment="1">
      <alignment horizontal="right" vertical="center" wrapText="1"/>
    </xf>
    <xf numFmtId="0" fontId="21" fillId="0" borderId="7" xfId="2" applyNumberFormat="1" applyFont="1" applyFill="1" applyBorder="1" applyAlignment="1">
      <alignment vertical="center"/>
    </xf>
    <xf numFmtId="175" fontId="21" fillId="0" borderId="7" xfId="4" applyNumberFormat="1" applyFont="1" applyFill="1" applyBorder="1" applyAlignment="1">
      <alignment vertical="center"/>
    </xf>
    <xf numFmtId="0" fontId="3" fillId="0" borderId="6" xfId="4" applyFont="1" applyFill="1" applyBorder="1" applyAlignment="1">
      <alignment horizontal="justify" vertical="center" wrapText="1"/>
    </xf>
    <xf numFmtId="0" fontId="3" fillId="0" borderId="7" xfId="4" applyFont="1" applyBorder="1" applyAlignment="1">
      <alignment horizontal="right" vertical="center"/>
    </xf>
    <xf numFmtId="169" fontId="3" fillId="0" borderId="6" xfId="1" applyFont="1" applyFill="1" applyBorder="1" applyAlignment="1">
      <alignment horizontal="center" vertical="center"/>
    </xf>
    <xf numFmtId="169" fontId="3" fillId="0" borderId="7" xfId="1" applyFont="1" applyFill="1" applyBorder="1" applyAlignment="1">
      <alignment horizontal="center" vertical="center"/>
    </xf>
    <xf numFmtId="0" fontId="3" fillId="0" borderId="6" xfId="4" applyFont="1" applyFill="1" applyBorder="1" applyAlignment="1">
      <alignment horizontal="left" vertical="center" wrapText="1"/>
    </xf>
    <xf numFmtId="169" fontId="3" fillId="0" borderId="6" xfId="1" applyFont="1" applyFill="1" applyBorder="1" applyAlignment="1">
      <alignment vertical="center"/>
    </xf>
    <xf numFmtId="0" fontId="24" fillId="0" borderId="7" xfId="4" applyFont="1" applyFill="1" applyBorder="1" applyAlignment="1">
      <alignment horizontal="center" vertical="center" wrapText="1"/>
    </xf>
    <xf numFmtId="0" fontId="24" fillId="0" borderId="7" xfId="4" applyFont="1" applyFill="1" applyBorder="1" applyAlignment="1">
      <alignment horizontal="left" vertical="center" wrapText="1"/>
    </xf>
    <xf numFmtId="0" fontId="24" fillId="0" borderId="7" xfId="4" applyFont="1" applyFill="1" applyBorder="1" applyAlignment="1">
      <alignment horizontal="justify" vertical="center" wrapText="1"/>
    </xf>
    <xf numFmtId="0" fontId="24" fillId="0" borderId="7" xfId="4" applyFont="1" applyFill="1" applyBorder="1" applyAlignment="1">
      <alignment horizontal="right" vertical="center"/>
    </xf>
    <xf numFmtId="169" fontId="24" fillId="0" borderId="7" xfId="1" applyFont="1" applyFill="1" applyBorder="1" applyAlignment="1">
      <alignment horizontal="right" vertical="center"/>
    </xf>
    <xf numFmtId="175" fontId="24" fillId="0" borderId="7" xfId="2" applyNumberFormat="1" applyFont="1" applyFill="1" applyBorder="1" applyAlignment="1">
      <alignment horizontal="center" vertical="center"/>
    </xf>
    <xf numFmtId="175" fontId="24" fillId="0" borderId="7" xfId="2" applyNumberFormat="1" applyFont="1" applyFill="1" applyBorder="1" applyAlignment="1">
      <alignment horizontal="right" vertical="center"/>
    </xf>
    <xf numFmtId="164" fontId="56" fillId="0" borderId="7" xfId="2" applyFont="1" applyFill="1" applyBorder="1" applyAlignment="1">
      <alignment horizontal="right" vertical="center"/>
    </xf>
    <xf numFmtId="0" fontId="3" fillId="0" borderId="7" xfId="4" applyFont="1" applyFill="1" applyBorder="1" applyAlignment="1">
      <alignment horizontal="justify" vertical="center"/>
    </xf>
    <xf numFmtId="0" fontId="3" fillId="0" borderId="1" xfId="4" applyFont="1" applyFill="1" applyBorder="1" applyAlignment="1">
      <alignment horizontal="left" vertical="center"/>
    </xf>
    <xf numFmtId="0" fontId="53" fillId="34" borderId="16" xfId="4" applyFont="1" applyFill="1" applyBorder="1" applyAlignment="1">
      <alignment vertical="center" wrapText="1"/>
    </xf>
    <xf numFmtId="1" fontId="3" fillId="34" borderId="1" xfId="4" applyNumberFormat="1" applyFont="1" applyFill="1" applyBorder="1" applyAlignment="1">
      <alignment horizontal="right" vertical="center"/>
    </xf>
    <xf numFmtId="4" fontId="3" fillId="34" borderId="0" xfId="1" applyNumberFormat="1" applyFont="1" applyFill="1" applyBorder="1" applyAlignment="1">
      <alignment horizontal="right" vertical="center"/>
    </xf>
    <xf numFmtId="0" fontId="24" fillId="0" borderId="1" xfId="0" applyFont="1" applyFill="1" applyBorder="1" applyAlignment="1">
      <alignment horizontal="justify" vertical="center" wrapText="1"/>
    </xf>
    <xf numFmtId="0" fontId="24" fillId="0" borderId="1" xfId="0" applyFont="1" applyFill="1" applyBorder="1" applyAlignment="1">
      <alignment horizontal="left" vertical="center"/>
    </xf>
    <xf numFmtId="1" fontId="24" fillId="0" borderId="1" xfId="0" applyNumberFormat="1" applyFont="1" applyFill="1" applyBorder="1" applyAlignment="1">
      <alignment horizontal="right" vertical="center"/>
    </xf>
    <xf numFmtId="0" fontId="53" fillId="6" borderId="16" xfId="4" applyFont="1" applyFill="1" applyBorder="1" applyAlignment="1">
      <alignment vertical="center" wrapText="1"/>
    </xf>
    <xf numFmtId="170" fontId="2" fillId="6" borderId="1" xfId="1" applyNumberFormat="1" applyFont="1" applyFill="1" applyBorder="1" applyAlignment="1">
      <alignment horizontal="right" vertical="center" wrapText="1"/>
    </xf>
    <xf numFmtId="170" fontId="3" fillId="6" borderId="1" xfId="1" applyNumberFormat="1" applyFont="1" applyFill="1" applyBorder="1" applyAlignment="1">
      <alignment horizontal="right" vertical="center" wrapText="1"/>
    </xf>
    <xf numFmtId="4" fontId="3" fillId="6" borderId="0" xfId="1" applyNumberFormat="1" applyFont="1" applyFill="1" applyBorder="1" applyAlignment="1">
      <alignment horizontal="right" vertical="center"/>
    </xf>
    <xf numFmtId="0" fontId="3" fillId="2" borderId="1" xfId="4" applyFont="1" applyFill="1" applyBorder="1" applyAlignment="1">
      <alignment horizontal="justify" vertical="center" wrapText="1"/>
    </xf>
    <xf numFmtId="0" fontId="2" fillId="29" borderId="1" xfId="4" applyFont="1" applyFill="1" applyBorder="1" applyAlignment="1">
      <alignment horizontal="justify" vertical="center" wrapText="1"/>
    </xf>
    <xf numFmtId="0" fontId="2" fillId="29" borderId="0" xfId="4" applyFont="1" applyFill="1" applyBorder="1" applyAlignment="1">
      <alignment vertical="center"/>
    </xf>
    <xf numFmtId="0" fontId="2" fillId="29" borderId="4" xfId="4" applyFont="1" applyFill="1" applyBorder="1" applyAlignment="1">
      <alignment vertical="center" wrapText="1"/>
    </xf>
    <xf numFmtId="0" fontId="2" fillId="29" borderId="4" xfId="4" applyFont="1" applyFill="1" applyBorder="1" applyAlignment="1">
      <alignment vertical="center"/>
    </xf>
    <xf numFmtId="0" fontId="2" fillId="29" borderId="1" xfId="4" applyFont="1" applyFill="1" applyBorder="1" applyAlignment="1">
      <alignment horizontal="right" vertical="center"/>
    </xf>
    <xf numFmtId="0" fontId="2" fillId="29" borderId="1" xfId="4" applyFont="1" applyFill="1" applyBorder="1" applyAlignment="1">
      <alignment horizontal="justify" vertical="center"/>
    </xf>
    <xf numFmtId="0" fontId="2" fillId="29" borderId="1" xfId="4" applyFont="1" applyFill="1" applyBorder="1" applyAlignment="1">
      <alignment horizontal="left" vertical="center"/>
    </xf>
    <xf numFmtId="169" fontId="2" fillId="29" borderId="1" xfId="1" applyFont="1" applyFill="1" applyBorder="1" applyAlignment="1">
      <alignment horizontal="right" vertical="center"/>
    </xf>
    <xf numFmtId="175" fontId="2" fillId="29" borderId="1" xfId="2" applyNumberFormat="1" applyFont="1" applyFill="1" applyBorder="1" applyAlignment="1">
      <alignment horizontal="right" vertical="center"/>
    </xf>
    <xf numFmtId="164" fontId="23" fillId="29" borderId="1" xfId="2" applyFont="1" applyFill="1" applyBorder="1" applyAlignment="1">
      <alignment horizontal="right" vertical="center"/>
    </xf>
    <xf numFmtId="164" fontId="23" fillId="29" borderId="1" xfId="2" applyFont="1" applyFill="1" applyBorder="1" applyAlignment="1">
      <alignment horizontal="right" vertical="center" wrapText="1"/>
    </xf>
    <xf numFmtId="175" fontId="23" fillId="29" borderId="1" xfId="2" applyNumberFormat="1" applyFont="1" applyFill="1" applyBorder="1" applyAlignment="1">
      <alignment vertical="center"/>
    </xf>
    <xf numFmtId="175" fontId="23" fillId="29" borderId="1" xfId="1" applyNumberFormat="1" applyFont="1" applyFill="1" applyBorder="1" applyAlignment="1">
      <alignment vertical="center"/>
    </xf>
    <xf numFmtId="169" fontId="23" fillId="29" borderId="1" xfId="1" applyFont="1" applyFill="1" applyBorder="1" applyAlignment="1">
      <alignment vertical="center"/>
    </xf>
    <xf numFmtId="169" fontId="2" fillId="29" borderId="0" xfId="1" applyFont="1" applyFill="1" applyBorder="1" applyAlignment="1">
      <alignment horizontal="right" vertical="center"/>
    </xf>
    <xf numFmtId="170" fontId="2" fillId="29" borderId="0" xfId="1" applyNumberFormat="1" applyFont="1" applyFill="1" applyBorder="1" applyAlignment="1">
      <alignment vertical="center"/>
    </xf>
    <xf numFmtId="0" fontId="2" fillId="29" borderId="0" xfId="4" applyFont="1" applyFill="1" applyBorder="1" applyAlignment="1">
      <alignment horizontal="center" vertical="center"/>
    </xf>
    <xf numFmtId="169" fontId="2" fillId="29" borderId="6" xfId="1" applyFont="1" applyFill="1" applyBorder="1" applyAlignment="1">
      <alignment vertical="center"/>
    </xf>
    <xf numFmtId="0" fontId="2" fillId="29" borderId="6" xfId="4" applyFont="1" applyFill="1" applyBorder="1" applyAlignment="1">
      <alignment vertical="center" wrapText="1"/>
    </xf>
    <xf numFmtId="0" fontId="2" fillId="29" borderId="1" xfId="4" applyFont="1" applyFill="1" applyBorder="1" applyAlignment="1">
      <alignment horizontal="right" vertical="center" wrapText="1"/>
    </xf>
    <xf numFmtId="169" fontId="3" fillId="29" borderId="0" xfId="1" applyFont="1" applyFill="1" applyBorder="1" applyAlignment="1">
      <alignment horizontal="right" vertical="center"/>
    </xf>
    <xf numFmtId="169" fontId="2" fillId="29" borderId="0" xfId="1" applyFont="1" applyFill="1" applyBorder="1" applyAlignment="1">
      <alignment vertical="center"/>
    </xf>
    <xf numFmtId="0" fontId="26" fillId="29" borderId="4" xfId="4" applyFont="1" applyFill="1" applyBorder="1" applyAlignment="1">
      <alignment horizontal="justify" vertical="center" wrapText="1"/>
    </xf>
    <xf numFmtId="0" fontId="3" fillId="29" borderId="6" xfId="4" applyFont="1" applyFill="1" applyBorder="1" applyAlignment="1">
      <alignment vertical="center"/>
    </xf>
    <xf numFmtId="169" fontId="2" fillId="29" borderId="4" xfId="1" applyFont="1" applyFill="1" applyBorder="1" applyAlignment="1">
      <alignment horizontal="right" vertical="center"/>
    </xf>
    <xf numFmtId="175" fontId="2" fillId="29" borderId="4" xfId="2" applyNumberFormat="1" applyFont="1" applyFill="1" applyBorder="1" applyAlignment="1">
      <alignment horizontal="right" vertical="center"/>
    </xf>
    <xf numFmtId="164" fontId="23" fillId="29" borderId="4" xfId="2" applyFont="1" applyFill="1" applyBorder="1" applyAlignment="1">
      <alignment horizontal="right" vertical="center"/>
    </xf>
    <xf numFmtId="164" fontId="23" fillId="29" borderId="4" xfId="2" applyFont="1" applyFill="1" applyBorder="1" applyAlignment="1">
      <alignment horizontal="right" vertical="center" wrapText="1"/>
    </xf>
    <xf numFmtId="175" fontId="23" fillId="29" borderId="4" xfId="2" applyNumberFormat="1" applyFont="1" applyFill="1" applyBorder="1" applyAlignment="1">
      <alignment vertical="center"/>
    </xf>
    <xf numFmtId="175" fontId="23" fillId="29" borderId="4" xfId="1" applyNumberFormat="1" applyFont="1" applyFill="1" applyBorder="1" applyAlignment="1">
      <alignment vertical="center"/>
    </xf>
    <xf numFmtId="169" fontId="23" fillId="29" borderId="4" xfId="1" applyFont="1" applyFill="1" applyBorder="1" applyAlignment="1">
      <alignment vertical="center"/>
    </xf>
    <xf numFmtId="170" fontId="3" fillId="29" borderId="0" xfId="1" applyNumberFormat="1" applyFont="1" applyFill="1" applyBorder="1" applyAlignment="1">
      <alignment vertical="center"/>
    </xf>
    <xf numFmtId="0" fontId="3" fillId="29" borderId="0" xfId="4" applyFont="1" applyFill="1" applyBorder="1" applyAlignment="1">
      <alignment vertical="center"/>
    </xf>
    <xf numFmtId="0" fontId="31" fillId="29" borderId="0" xfId="4" applyFont="1" applyFill="1"/>
    <xf numFmtId="0" fontId="2" fillId="29" borderId="6" xfId="4" applyFont="1" applyFill="1" applyBorder="1" applyAlignment="1">
      <alignment vertical="center"/>
    </xf>
    <xf numFmtId="4" fontId="2" fillId="29" borderId="1" xfId="1" applyNumberFormat="1" applyFont="1" applyFill="1" applyBorder="1" applyAlignment="1">
      <alignment horizontal="justify" vertical="center"/>
    </xf>
    <xf numFmtId="4" fontId="2" fillId="29" borderId="1" xfId="1" applyNumberFormat="1" applyFont="1" applyFill="1" applyBorder="1" applyAlignment="1">
      <alignment horizontal="left" vertical="center"/>
    </xf>
    <xf numFmtId="0" fontId="2" fillId="29" borderId="7" xfId="4" applyFont="1" applyFill="1" applyBorder="1" applyAlignment="1">
      <alignment horizontal="justify" vertical="center" wrapText="1"/>
    </xf>
    <xf numFmtId="169" fontId="2" fillId="29" borderId="6" xfId="1" applyFont="1" applyFill="1" applyBorder="1" applyAlignment="1">
      <alignment horizontal="right" vertical="center"/>
    </xf>
    <xf numFmtId="175" fontId="2" fillId="29" borderId="6" xfId="2" applyNumberFormat="1" applyFont="1" applyFill="1" applyBorder="1" applyAlignment="1">
      <alignment horizontal="right" vertical="center"/>
    </xf>
    <xf numFmtId="164" fontId="23" fillId="29" borderId="6" xfId="2" applyFont="1" applyFill="1" applyBorder="1" applyAlignment="1">
      <alignment horizontal="right" vertical="center"/>
    </xf>
    <xf numFmtId="164" fontId="23" fillId="29" borderId="6" xfId="2" applyFont="1" applyFill="1" applyBorder="1" applyAlignment="1">
      <alignment horizontal="right" vertical="center" wrapText="1"/>
    </xf>
    <xf numFmtId="175" fontId="23" fillId="29" borderId="6" xfId="2" applyNumberFormat="1" applyFont="1" applyFill="1" applyBorder="1" applyAlignment="1">
      <alignment vertical="center"/>
    </xf>
    <xf numFmtId="175" fontId="23" fillId="29" borderId="6" xfId="1" applyNumberFormat="1" applyFont="1" applyFill="1" applyBorder="1" applyAlignment="1">
      <alignment vertical="center"/>
    </xf>
    <xf numFmtId="169" fontId="23" fillId="29" borderId="7" xfId="1" applyFont="1" applyFill="1" applyBorder="1" applyAlignment="1">
      <alignment vertical="center"/>
    </xf>
    <xf numFmtId="169" fontId="3" fillId="29" borderId="6" xfId="1" applyFont="1" applyFill="1" applyBorder="1" applyAlignment="1">
      <alignment vertical="center"/>
    </xf>
    <xf numFmtId="169" fontId="2" fillId="29" borderId="6" xfId="1" applyFont="1" applyFill="1" applyBorder="1" applyAlignment="1">
      <alignment vertical="center" wrapText="1"/>
    </xf>
    <xf numFmtId="169" fontId="3" fillId="29" borderId="1" xfId="1" applyFont="1" applyFill="1" applyBorder="1" applyAlignment="1">
      <alignment horizontal="right" vertical="center"/>
    </xf>
    <xf numFmtId="175" fontId="3" fillId="29" borderId="1" xfId="2" applyNumberFormat="1" applyFont="1" applyFill="1" applyBorder="1" applyAlignment="1">
      <alignment horizontal="right" vertical="center"/>
    </xf>
    <xf numFmtId="164" fontId="22" fillId="29" borderId="1" xfId="2" applyFont="1" applyFill="1" applyBorder="1" applyAlignment="1">
      <alignment horizontal="right" vertical="center"/>
    </xf>
    <xf numFmtId="164" fontId="22" fillId="29" borderId="1" xfId="2" applyFont="1" applyFill="1" applyBorder="1" applyAlignment="1">
      <alignment horizontal="right" vertical="center" wrapText="1"/>
    </xf>
    <xf numFmtId="175" fontId="22" fillId="29" borderId="1" xfId="2" applyNumberFormat="1" applyFont="1" applyFill="1" applyBorder="1" applyAlignment="1">
      <alignment vertical="center"/>
    </xf>
    <xf numFmtId="175" fontId="22" fillId="29" borderId="1" xfId="1" applyNumberFormat="1" applyFont="1" applyFill="1" applyBorder="1" applyAlignment="1">
      <alignment vertical="center"/>
    </xf>
    <xf numFmtId="169" fontId="3" fillId="29" borderId="0" xfId="1" applyFont="1" applyFill="1" applyBorder="1" applyAlignment="1">
      <alignment vertical="center"/>
    </xf>
    <xf numFmtId="0" fontId="1" fillId="29" borderId="6" xfId="4" applyFont="1" applyFill="1" applyBorder="1" applyAlignment="1">
      <alignment vertical="center" shrinkToFit="1"/>
    </xf>
    <xf numFmtId="0" fontId="3" fillId="29" borderId="4" xfId="4" applyFont="1" applyFill="1" applyBorder="1" applyAlignment="1">
      <alignment vertical="center"/>
    </xf>
    <xf numFmtId="43" fontId="3" fillId="29" borderId="0" xfId="4" applyNumberFormat="1" applyFont="1" applyFill="1" applyBorder="1" applyAlignment="1">
      <alignment vertical="center"/>
    </xf>
    <xf numFmtId="0" fontId="3" fillId="29" borderId="6" xfId="4" applyFont="1" applyFill="1" applyBorder="1" applyAlignment="1">
      <alignment horizontal="justify" vertical="center" wrapText="1"/>
    </xf>
    <xf numFmtId="1" fontId="3" fillId="2" borderId="1" xfId="4" applyNumberFormat="1" applyFont="1" applyFill="1" applyBorder="1" applyAlignment="1">
      <alignment horizontal="left" vertical="center"/>
    </xf>
    <xf numFmtId="1" fontId="65" fillId="2" borderId="1" xfId="4" applyNumberFormat="1" applyFont="1" applyFill="1" applyBorder="1" applyAlignment="1">
      <alignment horizontal="right" vertical="center"/>
    </xf>
    <xf numFmtId="1" fontId="3" fillId="2" borderId="5" xfId="1" applyNumberFormat="1" applyFont="1" applyFill="1" applyBorder="1" applyAlignment="1">
      <alignment horizontal="right" vertical="center"/>
    </xf>
    <xf numFmtId="0" fontId="64" fillId="2" borderId="1" xfId="0" applyFont="1" applyFill="1" applyBorder="1" applyAlignment="1">
      <alignment horizontal="left" vertical="center" wrapText="1"/>
    </xf>
    <xf numFmtId="4" fontId="24" fillId="2" borderId="1" xfId="1" applyNumberFormat="1" applyFont="1" applyFill="1" applyBorder="1" applyAlignment="1">
      <alignment horizontal="justify" vertical="center"/>
    </xf>
    <xf numFmtId="4" fontId="24" fillId="2" borderId="1" xfId="1" applyNumberFormat="1" applyFont="1" applyFill="1" applyBorder="1" applyAlignment="1">
      <alignment horizontal="left" vertical="center"/>
    </xf>
    <xf numFmtId="1" fontId="2" fillId="6" borderId="1" xfId="4" applyNumberFormat="1" applyFont="1" applyFill="1" applyBorder="1" applyAlignment="1">
      <alignment horizontal="right" vertical="center"/>
    </xf>
    <xf numFmtId="4" fontId="2" fillId="6" borderId="1" xfId="4" applyNumberFormat="1" applyFont="1" applyFill="1" applyBorder="1" applyAlignment="1">
      <alignment horizontal="right" vertical="center"/>
    </xf>
    <xf numFmtId="4" fontId="3" fillId="6" borderId="1" xfId="4" applyNumberFormat="1" applyFont="1" applyFill="1" applyBorder="1" applyAlignment="1">
      <alignment horizontal="right" vertical="center"/>
    </xf>
    <xf numFmtId="1" fontId="3" fillId="6" borderId="1" xfId="4" applyNumberFormat="1" applyFont="1" applyFill="1" applyBorder="1" applyAlignment="1">
      <alignment horizontal="left" vertical="center" wrapText="1"/>
    </xf>
    <xf numFmtId="1" fontId="2" fillId="6" borderId="1" xfId="4" applyNumberFormat="1" applyFont="1" applyFill="1" applyBorder="1" applyAlignment="1">
      <alignment horizontal="left" vertical="center" wrapText="1"/>
    </xf>
    <xf numFmtId="4" fontId="3" fillId="6" borderId="1" xfId="1" applyNumberFormat="1" applyFont="1" applyFill="1" applyBorder="1" applyAlignment="1">
      <alignment horizontal="right" vertical="center"/>
    </xf>
    <xf numFmtId="1" fontId="3" fillId="6" borderId="1" xfId="1" applyNumberFormat="1" applyFont="1" applyFill="1" applyBorder="1" applyAlignment="1">
      <alignment horizontal="left" vertical="center" wrapText="1"/>
    </xf>
    <xf numFmtId="4" fontId="24" fillId="6" borderId="1" xfId="1" applyNumberFormat="1" applyFont="1" applyFill="1" applyBorder="1" applyAlignment="1" applyProtection="1">
      <alignment horizontal="right" vertical="center"/>
    </xf>
    <xf numFmtId="169" fontId="3" fillId="6" borderId="1" xfId="1" applyFont="1" applyFill="1" applyBorder="1" applyAlignment="1">
      <alignment horizontal="left" vertical="center" wrapText="1"/>
    </xf>
    <xf numFmtId="4" fontId="3" fillId="6" borderId="0" xfId="1" applyNumberFormat="1" applyFont="1" applyFill="1" applyBorder="1" applyAlignment="1">
      <alignment horizontal="left" vertical="center" wrapText="1"/>
    </xf>
    <xf numFmtId="4" fontId="3" fillId="6" borderId="4" xfId="1" applyNumberFormat="1" applyFont="1" applyFill="1" applyBorder="1" applyAlignment="1">
      <alignment horizontal="right" vertical="center" wrapText="1"/>
    </xf>
    <xf numFmtId="4" fontId="2" fillId="6" borderId="1" xfId="1" applyNumberFormat="1" applyFont="1" applyFill="1" applyBorder="1" applyAlignment="1">
      <alignment horizontal="right" vertical="center" wrapText="1"/>
    </xf>
    <xf numFmtId="3" fontId="3" fillId="6" borderId="4" xfId="1" applyNumberFormat="1" applyFont="1" applyFill="1" applyBorder="1" applyAlignment="1">
      <alignment horizontal="center" vertical="center" wrapText="1"/>
    </xf>
    <xf numFmtId="3" fontId="3" fillId="6" borderId="6" xfId="1" applyNumberFormat="1" applyFont="1" applyFill="1" applyBorder="1" applyAlignment="1">
      <alignment horizontal="center" vertical="center" wrapText="1"/>
    </xf>
    <xf numFmtId="3" fontId="3" fillId="6" borderId="1" xfId="1" applyNumberFormat="1" applyFont="1" applyFill="1" applyBorder="1" applyAlignment="1">
      <alignment horizontal="center" vertical="center" wrapText="1"/>
    </xf>
    <xf numFmtId="3" fontId="3" fillId="6" borderId="0" xfId="1" applyNumberFormat="1" applyFont="1" applyFill="1" applyBorder="1" applyAlignment="1">
      <alignment horizontal="right" vertical="center"/>
    </xf>
    <xf numFmtId="4" fontId="3" fillId="35" borderId="4" xfId="1" applyNumberFormat="1" applyFont="1" applyFill="1" applyBorder="1" applyAlignment="1">
      <alignment horizontal="right" vertical="center" wrapText="1"/>
    </xf>
    <xf numFmtId="4" fontId="2" fillId="35" borderId="1" xfId="1" applyNumberFormat="1" applyFont="1" applyFill="1" applyBorder="1" applyAlignment="1">
      <alignment horizontal="right" vertical="center" wrapText="1"/>
    </xf>
    <xf numFmtId="3" fontId="3" fillId="35" borderId="4" xfId="1" applyNumberFormat="1" applyFont="1" applyFill="1" applyBorder="1" applyAlignment="1">
      <alignment horizontal="center" vertical="center" wrapText="1"/>
    </xf>
    <xf numFmtId="3" fontId="3" fillId="35" borderId="6" xfId="1" applyNumberFormat="1" applyFont="1" applyFill="1" applyBorder="1" applyAlignment="1">
      <alignment horizontal="center" vertical="center" wrapText="1"/>
    </xf>
    <xf numFmtId="3" fontId="3" fillId="35" borderId="1" xfId="1" applyNumberFormat="1" applyFont="1" applyFill="1" applyBorder="1" applyAlignment="1">
      <alignment horizontal="center" vertical="center" wrapText="1"/>
    </xf>
    <xf numFmtId="4" fontId="3" fillId="35" borderId="1" xfId="1" applyNumberFormat="1" applyFont="1" applyFill="1" applyBorder="1" applyAlignment="1">
      <alignment horizontal="right" vertical="center" wrapText="1"/>
    </xf>
    <xf numFmtId="3" fontId="3" fillId="35" borderId="0" xfId="1" applyNumberFormat="1" applyFont="1" applyFill="1" applyBorder="1" applyAlignment="1">
      <alignment horizontal="right" vertical="center"/>
    </xf>
    <xf numFmtId="1" fontId="3" fillId="35" borderId="1" xfId="4" applyNumberFormat="1" applyFont="1" applyFill="1" applyBorder="1" applyAlignment="1">
      <alignment horizontal="right" vertical="center"/>
    </xf>
    <xf numFmtId="170" fontId="2" fillId="35" borderId="1" xfId="1" applyNumberFormat="1" applyFont="1" applyFill="1" applyBorder="1" applyAlignment="1">
      <alignment horizontal="right" vertical="center" wrapText="1"/>
    </xf>
    <xf numFmtId="170" fontId="3" fillId="35" borderId="1" xfId="1" applyNumberFormat="1" applyFont="1" applyFill="1" applyBorder="1" applyAlignment="1">
      <alignment horizontal="right" vertical="center" wrapText="1"/>
    </xf>
    <xf numFmtId="1" fontId="3" fillId="35" borderId="8" xfId="1" applyNumberFormat="1" applyFont="1" applyFill="1" applyBorder="1" applyAlignment="1">
      <alignment horizontal="right" vertical="center"/>
    </xf>
    <xf numFmtId="169" fontId="3" fillId="35" borderId="1" xfId="1" applyFont="1" applyFill="1" applyBorder="1" applyAlignment="1">
      <alignment horizontal="right" vertical="center"/>
    </xf>
    <xf numFmtId="4" fontId="3" fillId="35" borderId="0" xfId="1" applyNumberFormat="1" applyFont="1" applyFill="1" applyBorder="1" applyAlignment="1">
      <alignment horizontal="right" vertical="center"/>
    </xf>
    <xf numFmtId="49" fontId="22" fillId="0" borderId="7" xfId="1" applyNumberFormat="1" applyFont="1" applyFill="1" applyBorder="1" applyAlignment="1">
      <alignment vertical="center" wrapText="1"/>
    </xf>
    <xf numFmtId="169" fontId="22" fillId="0" borderId="1" xfId="1" applyFont="1" applyFill="1" applyBorder="1" applyAlignment="1">
      <alignment vertical="center" wrapText="1"/>
    </xf>
    <xf numFmtId="169" fontId="22" fillId="0" borderId="4" xfId="1" applyFont="1" applyFill="1" applyBorder="1" applyAlignment="1">
      <alignment vertical="center"/>
    </xf>
    <xf numFmtId="169" fontId="22" fillId="0" borderId="1" xfId="1" applyFont="1" applyFill="1" applyBorder="1" applyAlignment="1">
      <alignment vertical="center"/>
    </xf>
    <xf numFmtId="43" fontId="2" fillId="2" borderId="0" xfId="4" applyNumberFormat="1" applyFont="1" applyFill="1" applyBorder="1" applyAlignment="1">
      <alignment horizontal="center" vertical="center"/>
    </xf>
    <xf numFmtId="164" fontId="3" fillId="28" borderId="0" xfId="2" applyFont="1" applyFill="1" applyBorder="1" applyAlignment="1">
      <alignment horizontal="right" vertical="center"/>
    </xf>
    <xf numFmtId="4" fontId="3" fillId="0" borderId="0" xfId="1" applyNumberFormat="1" applyFont="1" applyFill="1" applyBorder="1" applyAlignment="1">
      <alignment horizontal="center" vertical="center"/>
    </xf>
    <xf numFmtId="4" fontId="3" fillId="0" borderId="0" xfId="1" applyNumberFormat="1" applyFont="1" applyFill="1" applyBorder="1" applyAlignment="1">
      <alignment horizontal="left" vertical="center" wrapText="1"/>
    </xf>
    <xf numFmtId="3" fontId="3" fillId="0" borderId="0" xfId="1" applyNumberFormat="1" applyFont="1" applyFill="1" applyBorder="1" applyAlignment="1">
      <alignment horizontal="right" vertical="center"/>
    </xf>
    <xf numFmtId="175" fontId="3" fillId="0" borderId="0" xfId="2" applyNumberFormat="1" applyFont="1" applyFill="1" applyBorder="1" applyAlignment="1">
      <alignment vertical="center"/>
    </xf>
    <xf numFmtId="164" fontId="3" fillId="0" borderId="0" xfId="2" applyFont="1" applyFill="1" applyBorder="1" applyAlignment="1">
      <alignment horizontal="right" vertical="center"/>
    </xf>
    <xf numFmtId="164" fontId="3" fillId="0" borderId="0" xfId="2" applyFont="1" applyFill="1" applyBorder="1" applyAlignment="1">
      <alignment horizontal="right" vertical="center" wrapText="1"/>
    </xf>
    <xf numFmtId="0" fontId="22" fillId="0" borderId="0" xfId="4" applyFont="1" applyFill="1" applyBorder="1" applyAlignment="1">
      <alignment horizontal="right" vertical="center"/>
    </xf>
    <xf numFmtId="0" fontId="0" fillId="0" borderId="0" xfId="0" applyFill="1"/>
    <xf numFmtId="169" fontId="3" fillId="0" borderId="0" xfId="4" applyNumberFormat="1" applyFont="1" applyFill="1" applyBorder="1" applyAlignment="1">
      <alignment vertical="center"/>
    </xf>
    <xf numFmtId="0" fontId="3" fillId="2" borderId="1" xfId="4" applyFont="1" applyFill="1" applyBorder="1" applyAlignment="1">
      <alignment horizontal="justify" vertical="center" wrapText="1"/>
    </xf>
    <xf numFmtId="0" fontId="3" fillId="2" borderId="1" xfId="4" applyFont="1" applyFill="1" applyBorder="1" applyAlignment="1">
      <alignment horizontal="left" vertical="center"/>
    </xf>
    <xf numFmtId="169" fontId="3" fillId="2" borderId="7" xfId="1" applyFont="1" applyFill="1" applyBorder="1" applyAlignment="1">
      <alignment horizontal="right" vertical="center"/>
    </xf>
    <xf numFmtId="169" fontId="3" fillId="2" borderId="1" xfId="1" applyFont="1" applyFill="1" applyBorder="1" applyAlignment="1">
      <alignment horizontal="right" vertical="center"/>
    </xf>
    <xf numFmtId="169" fontId="3" fillId="2" borderId="6" xfId="1" applyFont="1" applyFill="1" applyBorder="1" applyAlignment="1">
      <alignment vertical="center"/>
    </xf>
    <xf numFmtId="169" fontId="2" fillId="2" borderId="6" xfId="1" applyFont="1" applyFill="1" applyBorder="1" applyAlignment="1">
      <alignment vertical="center" wrapText="1"/>
    </xf>
    <xf numFmtId="0" fontId="2" fillId="2" borderId="7" xfId="4" applyFont="1" applyFill="1" applyBorder="1" applyAlignment="1">
      <alignment horizontal="justify" vertical="center" wrapText="1"/>
    </xf>
    <xf numFmtId="4" fontId="3" fillId="2" borderId="1" xfId="4" applyNumberFormat="1" applyFont="1" applyFill="1" applyBorder="1" applyAlignment="1">
      <alignment horizontal="right" vertical="center"/>
    </xf>
    <xf numFmtId="3" fontId="3" fillId="2" borderId="4" xfId="1" applyNumberFormat="1" applyFont="1" applyFill="1" applyBorder="1" applyAlignment="1">
      <alignment horizontal="center" vertical="center" wrapText="1"/>
    </xf>
    <xf numFmtId="169" fontId="0" fillId="2" borderId="0" xfId="1" applyFont="1" applyFill="1" applyAlignment="1">
      <alignment horizontal="right" vertical="center"/>
    </xf>
    <xf numFmtId="169" fontId="3" fillId="2" borderId="1" xfId="1" applyFont="1" applyFill="1" applyBorder="1" applyAlignment="1">
      <alignment horizontal="right" vertical="center"/>
    </xf>
    <xf numFmtId="0" fontId="26" fillId="0" borderId="0" xfId="4" applyFont="1" applyFill="1" applyBorder="1" applyAlignment="1">
      <alignment horizontal="justify" vertical="top" wrapText="1"/>
    </xf>
    <xf numFmtId="175" fontId="3" fillId="0" borderId="0" xfId="2" applyNumberFormat="1" applyFont="1" applyFill="1" applyBorder="1" applyAlignment="1">
      <alignment horizontal="right" vertical="center"/>
    </xf>
    <xf numFmtId="169" fontId="26" fillId="0" borderId="0" xfId="1" applyFont="1" applyFill="1" applyBorder="1" applyAlignment="1">
      <alignment horizontal="center" vertical="center"/>
    </xf>
    <xf numFmtId="169" fontId="22" fillId="0" borderId="0" xfId="1" applyFont="1" applyFill="1" applyBorder="1" applyAlignment="1">
      <alignment horizontal="right" vertical="center"/>
    </xf>
    <xf numFmtId="4" fontId="3" fillId="0" borderId="0" xfId="4" applyNumberFormat="1" applyFont="1" applyFill="1" applyBorder="1" applyAlignment="1">
      <alignment horizontal="left" vertical="center" wrapText="1"/>
    </xf>
    <xf numFmtId="0" fontId="26" fillId="0" borderId="0" xfId="4" applyFont="1" applyFill="1" applyBorder="1" applyAlignment="1">
      <alignment vertical="center"/>
    </xf>
    <xf numFmtId="0" fontId="15" fillId="0" borderId="0" xfId="4" applyFont="1" applyFill="1" applyAlignment="1">
      <alignment horizontal="justify" vertical="center"/>
    </xf>
    <xf numFmtId="164" fontId="12" fillId="0" borderId="0" xfId="2" applyFont="1" applyFill="1" applyAlignment="1">
      <alignment horizontal="right" vertical="center"/>
    </xf>
    <xf numFmtId="174" fontId="66" fillId="0" borderId="0" xfId="0" applyNumberFormat="1" applyFont="1" applyFill="1" applyAlignment="1">
      <alignment horizontal="right" vertical="center"/>
    </xf>
    <xf numFmtId="174" fontId="67" fillId="0" borderId="0" xfId="0" applyNumberFormat="1" applyFont="1" applyAlignment="1">
      <alignment horizontal="right" vertical="center"/>
    </xf>
    <xf numFmtId="178" fontId="3" fillId="0" borderId="0" xfId="4" applyNumberFormat="1" applyFont="1" applyFill="1" applyBorder="1" applyAlignment="1">
      <alignment vertical="center"/>
    </xf>
    <xf numFmtId="4" fontId="23" fillId="16" borderId="1" xfId="1" applyNumberFormat="1" applyFont="1" applyFill="1" applyBorder="1" applyAlignment="1">
      <alignment vertical="center"/>
    </xf>
    <xf numFmtId="4" fontId="23" fillId="16" borderId="1" xfId="1" applyNumberFormat="1" applyFont="1" applyFill="1" applyBorder="1" applyAlignment="1">
      <alignment vertical="center" wrapText="1"/>
    </xf>
    <xf numFmtId="4" fontId="23" fillId="16" borderId="1" xfId="2" applyNumberFormat="1" applyFont="1" applyFill="1" applyBorder="1" applyAlignment="1">
      <alignment vertical="center"/>
    </xf>
    <xf numFmtId="4" fontId="23" fillId="29" borderId="1" xfId="1" applyNumberFormat="1" applyFont="1" applyFill="1" applyBorder="1" applyAlignment="1">
      <alignment vertical="center"/>
    </xf>
    <xf numFmtId="4" fontId="23" fillId="29" borderId="1" xfId="2" applyNumberFormat="1" applyFont="1" applyFill="1" applyBorder="1" applyAlignment="1">
      <alignment horizontal="right" vertical="center" wrapText="1"/>
    </xf>
    <xf numFmtId="4" fontId="23" fillId="29" borderId="1" xfId="2" applyNumberFormat="1" applyFont="1" applyFill="1" applyBorder="1" applyAlignment="1">
      <alignment vertical="center"/>
    </xf>
    <xf numFmtId="4" fontId="22" fillId="0" borderId="4" xfId="1" applyNumberFormat="1" applyFont="1" applyFill="1" applyBorder="1" applyAlignment="1">
      <alignment vertical="center"/>
    </xf>
    <xf numFmtId="4" fontId="54" fillId="0" borderId="4" xfId="1" applyNumberFormat="1" applyFont="1" applyFill="1" applyBorder="1" applyAlignment="1">
      <alignment vertical="center"/>
    </xf>
    <xf numFmtId="4" fontId="22" fillId="0" borderId="4" xfId="2" applyNumberFormat="1" applyFont="1" applyFill="1" applyBorder="1" applyAlignment="1">
      <alignment vertical="center"/>
    </xf>
    <xf numFmtId="4" fontId="22" fillId="0" borderId="4" xfId="2" applyNumberFormat="1" applyFont="1" applyFill="1" applyBorder="1" applyAlignment="1">
      <alignment horizontal="right" vertical="center"/>
    </xf>
    <xf numFmtId="4" fontId="23" fillId="4" borderId="1" xfId="1" applyNumberFormat="1" applyFont="1" applyFill="1" applyBorder="1" applyAlignment="1">
      <alignment vertical="center"/>
    </xf>
    <xf numFmtId="4" fontId="23" fillId="4" borderId="1" xfId="2" applyNumberFormat="1" applyFont="1" applyFill="1" applyBorder="1" applyAlignment="1">
      <alignment vertical="center"/>
    </xf>
    <xf numFmtId="4" fontId="23" fillId="28" borderId="1" xfId="2" applyNumberFormat="1" applyFont="1" applyFill="1" applyBorder="1" applyAlignment="1">
      <alignment horizontal="right" vertical="center"/>
    </xf>
    <xf numFmtId="4" fontId="22" fillId="2" borderId="7" xfId="1" applyNumberFormat="1" applyFont="1" applyFill="1" applyBorder="1" applyAlignment="1">
      <alignment vertical="center"/>
    </xf>
    <xf numFmtId="4" fontId="22" fillId="2" borderId="7" xfId="2" applyNumberFormat="1" applyFont="1" applyFill="1" applyBorder="1" applyAlignment="1">
      <alignment vertical="center"/>
    </xf>
    <xf numFmtId="4" fontId="22" fillId="2" borderId="1" xfId="1" applyNumberFormat="1" applyFont="1" applyFill="1" applyBorder="1" applyAlignment="1">
      <alignment vertical="center"/>
    </xf>
    <xf numFmtId="4" fontId="22" fillId="28" borderId="1" xfId="2" applyNumberFormat="1" applyFont="1" applyFill="1" applyBorder="1" applyAlignment="1">
      <alignment horizontal="right" vertical="center"/>
    </xf>
    <xf numFmtId="4" fontId="22" fillId="28" borderId="7" xfId="2" applyNumberFormat="1" applyFont="1" applyFill="1" applyBorder="1" applyAlignment="1">
      <alignment horizontal="right" vertical="center"/>
    </xf>
    <xf numFmtId="4" fontId="23" fillId="0" borderId="1" xfId="2" applyNumberFormat="1" applyFont="1" applyFill="1" applyBorder="1" applyAlignment="1">
      <alignment vertical="center"/>
    </xf>
    <xf numFmtId="4" fontId="23" fillId="29" borderId="4" xfId="1" applyNumberFormat="1" applyFont="1" applyFill="1" applyBorder="1" applyAlignment="1">
      <alignment vertical="center"/>
    </xf>
    <xf numFmtId="4" fontId="22" fillId="0" borderId="1" xfId="1" applyNumberFormat="1" applyFont="1" applyFill="1" applyBorder="1" applyAlignment="1">
      <alignment vertical="center"/>
    </xf>
    <xf numFmtId="4" fontId="23" fillId="16" borderId="1" xfId="2" applyNumberFormat="1" applyFont="1" applyFill="1" applyBorder="1" applyAlignment="1">
      <alignment horizontal="right" vertical="center" wrapText="1"/>
    </xf>
    <xf numFmtId="4" fontId="22" fillId="0" borderId="1" xfId="2" applyNumberFormat="1" applyFont="1" applyFill="1" applyBorder="1" applyAlignment="1">
      <alignment vertical="center"/>
    </xf>
    <xf numFmtId="4" fontId="22" fillId="0" borderId="1" xfId="2" applyNumberFormat="1" applyFont="1" applyFill="1" applyBorder="1" applyAlignment="1">
      <alignment horizontal="right" vertical="center"/>
    </xf>
    <xf numFmtId="4" fontId="22" fillId="0" borderId="6" xfId="1" applyNumberFormat="1" applyFont="1" applyFill="1" applyBorder="1" applyAlignment="1">
      <alignment vertical="center"/>
    </xf>
    <xf numFmtId="4" fontId="22" fillId="0" borderId="6" xfId="2" applyNumberFormat="1" applyFont="1" applyFill="1" applyBorder="1" applyAlignment="1">
      <alignment horizontal="right" vertical="center"/>
    </xf>
    <xf numFmtId="4" fontId="21" fillId="0" borderId="1" xfId="2" applyNumberFormat="1" applyFont="1" applyFill="1" applyBorder="1" applyAlignment="1">
      <alignment vertical="center"/>
    </xf>
    <xf numFmtId="4" fontId="22" fillId="0" borderId="0" xfId="1" applyNumberFormat="1" applyFont="1" applyFill="1" applyBorder="1" applyAlignment="1">
      <alignment vertical="center"/>
    </xf>
    <xf numFmtId="4" fontId="23" fillId="29" borderId="6" xfId="1" applyNumberFormat="1" applyFont="1" applyFill="1" applyBorder="1" applyAlignment="1">
      <alignment vertical="center"/>
    </xf>
    <xf numFmtId="4" fontId="23" fillId="29" borderId="6" xfId="2" applyNumberFormat="1" applyFont="1" applyFill="1" applyBorder="1" applyAlignment="1">
      <alignment horizontal="right" vertical="center" wrapText="1"/>
    </xf>
    <xf numFmtId="4" fontId="23" fillId="29" borderId="6" xfId="2" applyNumberFormat="1" applyFont="1" applyFill="1" applyBorder="1" applyAlignment="1">
      <alignment vertical="center"/>
    </xf>
    <xf numFmtId="4" fontId="54" fillId="0" borderId="1" xfId="1" applyNumberFormat="1" applyFont="1" applyFill="1" applyBorder="1" applyAlignment="1">
      <alignment vertical="center"/>
    </xf>
    <xf numFmtId="4" fontId="55" fillId="0" borderId="1" xfId="1" applyNumberFormat="1" applyFont="1" applyFill="1" applyBorder="1" applyAlignment="1">
      <alignment vertical="center"/>
    </xf>
    <xf numFmtId="4" fontId="21" fillId="0" borderId="1" xfId="2" applyNumberFormat="1" applyFont="1" applyFill="1" applyBorder="1" applyAlignment="1">
      <alignment horizontal="right" vertical="center"/>
    </xf>
    <xf numFmtId="4" fontId="22" fillId="0" borderId="7" xfId="1" applyNumberFormat="1" applyFont="1" applyFill="1" applyBorder="1" applyAlignment="1">
      <alignment vertical="center"/>
    </xf>
    <xf numFmtId="4" fontId="55" fillId="0" borderId="7" xfId="1" applyNumberFormat="1" applyFont="1" applyFill="1" applyBorder="1" applyAlignment="1">
      <alignment vertical="center"/>
    </xf>
    <xf numFmtId="4" fontId="54" fillId="0" borderId="7" xfId="1" applyNumberFormat="1" applyFont="1" applyFill="1" applyBorder="1" applyAlignment="1">
      <alignment vertical="center"/>
    </xf>
    <xf numFmtId="4" fontId="22" fillId="0" borderId="7" xfId="2" applyNumberFormat="1" applyFont="1" applyFill="1" applyBorder="1" applyAlignment="1">
      <alignment horizontal="right" vertical="center"/>
    </xf>
    <xf numFmtId="4" fontId="22" fillId="29" borderId="1" xfId="1" applyNumberFormat="1" applyFont="1" applyFill="1" applyBorder="1" applyAlignment="1">
      <alignment vertical="center"/>
    </xf>
    <xf numFmtId="4" fontId="22" fillId="29" borderId="1" xfId="2" applyNumberFormat="1" applyFont="1" applyFill="1" applyBorder="1" applyAlignment="1">
      <alignment horizontal="right" vertical="center" wrapText="1"/>
    </xf>
    <xf numFmtId="4" fontId="22" fillId="29" borderId="1" xfId="2" applyNumberFormat="1" applyFont="1" applyFill="1" applyBorder="1" applyAlignment="1">
      <alignment vertical="center"/>
    </xf>
    <xf numFmtId="4" fontId="22" fillId="0" borderId="7" xfId="2" applyNumberFormat="1" applyFont="1" applyFill="1" applyBorder="1" applyAlignment="1">
      <alignment vertical="center"/>
    </xf>
    <xf numFmtId="4" fontId="22" fillId="0" borderId="5" xfId="1" applyNumberFormat="1" applyFont="1" applyFill="1" applyBorder="1" applyAlignment="1">
      <alignment vertical="center"/>
    </xf>
    <xf numFmtId="4" fontId="22" fillId="0" borderId="5" xfId="2" applyNumberFormat="1" applyFont="1" applyFill="1" applyBorder="1" applyAlignment="1">
      <alignment vertical="center"/>
    </xf>
    <xf numFmtId="4" fontId="23" fillId="16" borderId="7" xfId="1" applyNumberFormat="1" applyFont="1" applyFill="1" applyBorder="1" applyAlignment="1">
      <alignment vertical="center"/>
    </xf>
    <xf numFmtId="4" fontId="23" fillId="16" borderId="7" xfId="2" applyNumberFormat="1" applyFont="1" applyFill="1" applyBorder="1" applyAlignment="1">
      <alignment horizontal="right" vertical="center" wrapText="1"/>
    </xf>
    <xf numFmtId="4" fontId="23" fillId="16" borderId="7" xfId="2" applyNumberFormat="1" applyFont="1" applyFill="1" applyBorder="1" applyAlignment="1">
      <alignment vertical="center"/>
    </xf>
    <xf numFmtId="4" fontId="23" fillId="0" borderId="1" xfId="1" applyNumberFormat="1" applyFont="1" applyFill="1" applyBorder="1" applyAlignment="1">
      <alignment vertical="center"/>
    </xf>
    <xf numFmtId="4" fontId="57" fillId="0" borderId="1" xfId="2" applyNumberFormat="1" applyFont="1" applyFill="1" applyBorder="1" applyAlignment="1">
      <alignment vertical="center"/>
    </xf>
    <xf numFmtId="4" fontId="23" fillId="0" borderId="1" xfId="2" applyNumberFormat="1" applyFont="1" applyFill="1" applyBorder="1" applyAlignment="1">
      <alignment horizontal="right" vertical="center"/>
    </xf>
    <xf numFmtId="4" fontId="57" fillId="0" borderId="1" xfId="2" applyNumberFormat="1" applyFont="1" applyFill="1" applyBorder="1" applyAlignment="1">
      <alignment horizontal="right" vertical="center"/>
    </xf>
    <xf numFmtId="4" fontId="23" fillId="0" borderId="0" xfId="1" applyNumberFormat="1" applyFont="1" applyFill="1" applyBorder="1" applyAlignment="1">
      <alignment vertical="center"/>
    </xf>
    <xf numFmtId="4" fontId="21" fillId="0" borderId="0" xfId="2" applyNumberFormat="1" applyFont="1" applyFill="1" applyAlignment="1">
      <alignment vertical="center"/>
    </xf>
    <xf numFmtId="4" fontId="21" fillId="0" borderId="1" xfId="0" applyNumberFormat="1" applyFont="1" applyFill="1" applyBorder="1" applyAlignment="1">
      <alignment horizontal="right" vertical="center"/>
    </xf>
    <xf numFmtId="4" fontId="22" fillId="0" borderId="1" xfId="1" applyNumberFormat="1" applyFont="1" applyFill="1" applyBorder="1" applyAlignment="1">
      <alignment vertical="center" wrapText="1"/>
    </xf>
    <xf numFmtId="4" fontId="56" fillId="0" borderId="1" xfId="1" applyNumberFormat="1" applyFont="1" applyFill="1" applyBorder="1" applyAlignment="1">
      <alignment vertical="center"/>
    </xf>
    <xf numFmtId="4" fontId="23" fillId="4" borderId="6" xfId="1" applyNumberFormat="1" applyFont="1" applyFill="1" applyBorder="1" applyAlignment="1">
      <alignment vertical="center"/>
    </xf>
    <xf numFmtId="4" fontId="23" fillId="4" borderId="6" xfId="2" applyNumberFormat="1" applyFont="1" applyFill="1" applyBorder="1" applyAlignment="1">
      <alignment vertical="center"/>
    </xf>
    <xf numFmtId="4" fontId="0" fillId="0" borderId="0" xfId="0" applyNumberFormat="1" applyFill="1"/>
    <xf numFmtId="0" fontId="2" fillId="0" borderId="1" xfId="4" applyFont="1" applyFill="1" applyBorder="1" applyAlignment="1">
      <alignment horizontal="center" vertical="center"/>
    </xf>
    <xf numFmtId="174" fontId="68" fillId="37" borderId="0" xfId="0" applyNumberFormat="1" applyFont="1" applyFill="1" applyAlignment="1">
      <alignment horizontal="right" vertical="center"/>
    </xf>
    <xf numFmtId="174" fontId="70" fillId="38" borderId="0" xfId="0" applyNumberFormat="1" applyFont="1" applyFill="1" applyAlignment="1">
      <alignment horizontal="right" vertical="center"/>
    </xf>
    <xf numFmtId="174" fontId="70" fillId="0" borderId="0" xfId="0" applyNumberFormat="1" applyFont="1" applyAlignment="1">
      <alignment horizontal="right" vertical="center"/>
    </xf>
    <xf numFmtId="179" fontId="3" fillId="2" borderId="0" xfId="14" applyNumberFormat="1" applyFont="1" applyFill="1" applyBorder="1" applyAlignment="1">
      <alignment horizontal="right" vertical="center" wrapText="1"/>
    </xf>
    <xf numFmtId="179" fontId="2" fillId="2" borderId="0" xfId="14" applyNumberFormat="1" applyFont="1" applyFill="1" applyBorder="1" applyAlignment="1">
      <alignment horizontal="right" vertical="center" wrapText="1"/>
    </xf>
    <xf numFmtId="179" fontId="2" fillId="29" borderId="0" xfId="14" applyNumberFormat="1" applyFont="1" applyFill="1" applyBorder="1" applyAlignment="1">
      <alignment horizontal="right" vertical="center" wrapText="1"/>
    </xf>
    <xf numFmtId="179" fontId="2" fillId="0" borderId="0" xfId="14" applyNumberFormat="1" applyFont="1" applyFill="1" applyBorder="1" applyAlignment="1">
      <alignment horizontal="right" vertical="center" wrapText="1"/>
    </xf>
    <xf numFmtId="179" fontId="3" fillId="0" borderId="0" xfId="14" applyNumberFormat="1" applyFont="1" applyFill="1" applyBorder="1" applyAlignment="1">
      <alignment horizontal="right" vertical="center" wrapText="1"/>
    </xf>
    <xf numFmtId="179" fontId="2" fillId="0" borderId="0" xfId="14" applyNumberFormat="1" applyFont="1" applyFill="1" applyBorder="1" applyAlignment="1">
      <alignment horizontal="right" vertical="center"/>
    </xf>
    <xf numFmtId="179" fontId="68" fillId="37" borderId="0" xfId="14" applyNumberFormat="1" applyFont="1" applyFill="1" applyAlignment="1">
      <alignment horizontal="right" vertical="center" wrapText="1"/>
    </xf>
    <xf numFmtId="0" fontId="3" fillId="37" borderId="0" xfId="4" applyFont="1" applyFill="1" applyBorder="1" applyAlignment="1">
      <alignment vertical="center" wrapText="1"/>
    </xf>
    <xf numFmtId="0" fontId="2" fillId="37" borderId="0" xfId="4" applyFont="1" applyFill="1" applyBorder="1" applyAlignment="1">
      <alignment horizontal="center" vertical="center"/>
    </xf>
    <xf numFmtId="179" fontId="68" fillId="37" borderId="0" xfId="14" applyNumberFormat="1" applyFont="1" applyFill="1" applyAlignment="1">
      <alignment horizontal="right" vertical="center"/>
    </xf>
    <xf numFmtId="179" fontId="2" fillId="37" borderId="0" xfId="14" applyNumberFormat="1" applyFont="1" applyFill="1" applyBorder="1" applyAlignment="1">
      <alignment horizontal="right" vertical="center" wrapText="1"/>
    </xf>
    <xf numFmtId="179" fontId="69" fillId="37" borderId="0" xfId="14" applyNumberFormat="1" applyFont="1" applyFill="1" applyAlignment="1">
      <alignment horizontal="right" vertical="center"/>
    </xf>
    <xf numFmtId="164" fontId="2" fillId="37" borderId="0" xfId="2" applyFont="1" applyFill="1" applyBorder="1" applyAlignment="1">
      <alignment horizontal="center" vertical="center"/>
    </xf>
    <xf numFmtId="0" fontId="2" fillId="37" borderId="0" xfId="4" applyFont="1" applyFill="1" applyBorder="1" applyAlignment="1">
      <alignment horizontal="center" vertical="center" wrapText="1"/>
    </xf>
    <xf numFmtId="174" fontId="68" fillId="39" borderId="0" xfId="0" applyNumberFormat="1" applyFont="1" applyFill="1" applyAlignment="1">
      <alignment horizontal="right" vertical="center"/>
    </xf>
    <xf numFmtId="4" fontId="22" fillId="0" borderId="4" xfId="1" applyNumberFormat="1" applyFont="1" applyFill="1" applyBorder="1" applyAlignment="1">
      <alignment vertical="center"/>
    </xf>
    <xf numFmtId="4" fontId="22" fillId="0" borderId="6" xfId="1" applyNumberFormat="1" applyFont="1" applyFill="1" applyBorder="1" applyAlignment="1">
      <alignment vertical="center"/>
    </xf>
    <xf numFmtId="4" fontId="22" fillId="0" borderId="7" xfId="1" applyNumberFormat="1" applyFont="1" applyFill="1" applyBorder="1" applyAlignment="1">
      <alignment vertical="center"/>
    </xf>
    <xf numFmtId="4" fontId="23" fillId="0" borderId="1" xfId="1" applyNumberFormat="1" applyFont="1" applyFill="1" applyBorder="1" applyAlignment="1">
      <alignment vertical="center"/>
    </xf>
    <xf numFmtId="4" fontId="22" fillId="0" borderId="4" xfId="2" applyNumberFormat="1" applyFont="1" applyFill="1" applyBorder="1" applyAlignment="1">
      <alignment vertical="center"/>
    </xf>
    <xf numFmtId="4" fontId="22" fillId="0" borderId="6" xfId="2" applyNumberFormat="1" applyFont="1" applyFill="1" applyBorder="1" applyAlignment="1">
      <alignment vertical="center"/>
    </xf>
    <xf numFmtId="4" fontId="22" fillId="0" borderId="7" xfId="2" applyNumberFormat="1" applyFont="1" applyFill="1" applyBorder="1" applyAlignment="1">
      <alignment vertical="center"/>
    </xf>
    <xf numFmtId="4" fontId="21" fillId="0" borderId="4" xfId="2" applyNumberFormat="1" applyFont="1" applyFill="1" applyBorder="1" applyAlignment="1">
      <alignment vertical="center"/>
    </xf>
    <xf numFmtId="0" fontId="21" fillId="0" borderId="7" xfId="2" applyNumberFormat="1" applyFont="1" applyFill="1" applyBorder="1" applyAlignment="1">
      <alignment vertical="center"/>
    </xf>
    <xf numFmtId="4" fontId="22" fillId="0" borderId="1" xfId="1" applyNumberFormat="1" applyFont="1" applyFill="1" applyBorder="1" applyAlignment="1">
      <alignment vertical="center"/>
    </xf>
    <xf numFmtId="4" fontId="21" fillId="0" borderId="1" xfId="2" applyNumberFormat="1" applyFont="1" applyFill="1" applyBorder="1" applyAlignment="1">
      <alignment vertical="center"/>
    </xf>
    <xf numFmtId="175" fontId="21" fillId="0" borderId="1" xfId="2" applyNumberFormat="1" applyFont="1" applyFill="1" applyBorder="1" applyAlignment="1">
      <alignment vertical="center"/>
    </xf>
    <xf numFmtId="4" fontId="22" fillId="0" borderId="1" xfId="2" applyNumberFormat="1" applyFont="1" applyFill="1" applyBorder="1" applyAlignment="1">
      <alignment vertical="center"/>
    </xf>
    <xf numFmtId="175" fontId="22" fillId="0" borderId="1" xfId="2" applyNumberFormat="1" applyFont="1" applyFill="1" applyBorder="1" applyAlignment="1">
      <alignment vertical="center"/>
    </xf>
    <xf numFmtId="4" fontId="54" fillId="0" borderId="1" xfId="1" applyNumberFormat="1" applyFont="1" applyFill="1" applyBorder="1" applyAlignment="1">
      <alignment vertical="center"/>
    </xf>
    <xf numFmtId="4" fontId="54" fillId="0" borderId="4" xfId="1" applyNumberFormat="1" applyFont="1" applyFill="1" applyBorder="1" applyAlignment="1">
      <alignment vertical="center"/>
    </xf>
    <xf numFmtId="175" fontId="21" fillId="0" borderId="1" xfId="2" applyNumberFormat="1" applyFont="1" applyFill="1" applyBorder="1" applyAlignment="1">
      <alignment vertical="center" wrapText="1"/>
    </xf>
    <xf numFmtId="4" fontId="55" fillId="0" borderId="1" xfId="2" applyNumberFormat="1" applyFont="1" applyFill="1" applyBorder="1" applyAlignment="1">
      <alignment vertical="center"/>
    </xf>
    <xf numFmtId="4" fontId="55" fillId="0" borderId="4" xfId="2" applyNumberFormat="1" applyFont="1" applyFill="1" applyBorder="1" applyAlignment="1">
      <alignment vertical="center"/>
    </xf>
    <xf numFmtId="174" fontId="68" fillId="40" borderId="0" xfId="0" applyNumberFormat="1" applyFont="1" applyFill="1" applyAlignment="1">
      <alignment horizontal="right" vertical="center"/>
    </xf>
    <xf numFmtId="0" fontId="3" fillId="40" borderId="0" xfId="4" applyFont="1" applyFill="1" applyBorder="1" applyAlignment="1">
      <alignment horizontal="center" vertical="center" wrapText="1"/>
    </xf>
    <xf numFmtId="179" fontId="2" fillId="30" borderId="0" xfId="14" applyNumberFormat="1" applyFont="1" applyFill="1" applyBorder="1" applyAlignment="1">
      <alignment horizontal="right" vertical="center" wrapText="1"/>
    </xf>
    <xf numFmtId="0" fontId="3" fillId="30" borderId="0" xfId="4" applyFont="1" applyFill="1" applyBorder="1" applyAlignment="1">
      <alignment vertical="center" wrapText="1"/>
    </xf>
    <xf numFmtId="179" fontId="68" fillId="30" borderId="0" xfId="14" applyNumberFormat="1" applyFont="1" applyFill="1" applyAlignment="1">
      <alignment horizontal="right" vertical="center" wrapText="1"/>
    </xf>
    <xf numFmtId="174" fontId="68" fillId="30" borderId="0" xfId="0" applyNumberFormat="1" applyFont="1" applyFill="1" applyAlignment="1">
      <alignment horizontal="right" vertical="center"/>
    </xf>
    <xf numFmtId="0" fontId="2" fillId="30" borderId="0" xfId="4" applyFont="1" applyFill="1" applyBorder="1" applyAlignment="1">
      <alignment horizontal="center" vertical="center" wrapText="1"/>
    </xf>
    <xf numFmtId="179" fontId="69" fillId="30" borderId="0" xfId="14" applyNumberFormat="1" applyFont="1" applyFill="1" applyAlignment="1">
      <alignment horizontal="right" vertical="center"/>
    </xf>
    <xf numFmtId="179" fontId="68" fillId="41" borderId="0" xfId="14" applyNumberFormat="1" applyFont="1" applyFill="1" applyAlignment="1">
      <alignment horizontal="right" vertical="center" wrapText="1"/>
    </xf>
    <xf numFmtId="0" fontId="0" fillId="41" borderId="0" xfId="0" applyNumberFormat="1" applyFill="1" applyBorder="1" applyAlignment="1" applyProtection="1"/>
    <xf numFmtId="0" fontId="0" fillId="41" borderId="0" xfId="0" applyNumberFormat="1" applyFill="1" applyBorder="1" applyAlignment="1" applyProtection="1">
      <alignment wrapText="1"/>
    </xf>
    <xf numFmtId="179" fontId="68" fillId="41" borderId="0" xfId="14" applyNumberFormat="1" applyFont="1" applyFill="1" applyAlignment="1">
      <alignment horizontal="right" vertical="center"/>
    </xf>
    <xf numFmtId="0" fontId="0" fillId="41" borderId="0" xfId="0" applyNumberFormat="1" applyFill="1" applyBorder="1" applyAlignment="1" applyProtection="1">
      <alignment vertical="center" wrapText="1"/>
    </xf>
    <xf numFmtId="179" fontId="69" fillId="41" borderId="0" xfId="14" applyNumberFormat="1" applyFont="1" applyFill="1" applyAlignment="1">
      <alignment horizontal="right" vertical="center"/>
    </xf>
    <xf numFmtId="179" fontId="3" fillId="41" borderId="0" xfId="14" applyNumberFormat="1" applyFont="1" applyFill="1" applyBorder="1" applyAlignment="1">
      <alignment horizontal="right" vertical="center" wrapText="1"/>
    </xf>
    <xf numFmtId="0" fontId="0" fillId="41" borderId="0" xfId="0" applyNumberFormat="1" applyFill="1" applyBorder="1" applyAlignment="1" applyProtection="1">
      <alignment vertical="center"/>
    </xf>
    <xf numFmtId="179" fontId="56" fillId="41" borderId="2" xfId="14" applyNumberFormat="1" applyFont="1" applyFill="1" applyBorder="1" applyAlignment="1">
      <alignment horizontal="right" vertical="center"/>
    </xf>
    <xf numFmtId="179" fontId="22" fillId="41" borderId="2" xfId="14" applyNumberFormat="1" applyFont="1" applyFill="1" applyBorder="1" applyAlignment="1">
      <alignment horizontal="right" vertical="center"/>
    </xf>
    <xf numFmtId="0" fontId="3" fillId="41" borderId="0" xfId="4" applyFont="1" applyFill="1" applyBorder="1" applyAlignment="1">
      <alignment vertical="center"/>
    </xf>
    <xf numFmtId="179" fontId="71" fillId="30" borderId="0" xfId="14" applyNumberFormat="1" applyFont="1" applyFill="1" applyAlignment="1">
      <alignment horizontal="right" vertical="center" wrapText="1"/>
    </xf>
    <xf numFmtId="0" fontId="26" fillId="30" borderId="0" xfId="4" applyFont="1" applyFill="1" applyBorder="1" applyAlignment="1">
      <alignment vertical="center" wrapText="1"/>
    </xf>
    <xf numFmtId="0" fontId="25" fillId="0" borderId="0" xfId="4" applyFont="1" applyFill="1" applyBorder="1" applyAlignment="1">
      <alignment horizontal="center" vertical="center"/>
    </xf>
    <xf numFmtId="179" fontId="71" fillId="41" borderId="0" xfId="14" applyNumberFormat="1" applyFont="1" applyFill="1" applyAlignment="1">
      <alignment horizontal="right" vertical="center"/>
    </xf>
    <xf numFmtId="164" fontId="25" fillId="37" borderId="0" xfId="2" applyFont="1" applyFill="1" applyBorder="1" applyAlignment="1">
      <alignment horizontal="center" vertical="center"/>
    </xf>
    <xf numFmtId="179" fontId="25" fillId="0" borderId="0" xfId="14" applyNumberFormat="1" applyFont="1" applyFill="1" applyBorder="1" applyAlignment="1">
      <alignment horizontal="right" vertical="center" wrapText="1"/>
    </xf>
    <xf numFmtId="0" fontId="3" fillId="2" borderId="0" xfId="4" applyFont="1" applyFill="1" applyBorder="1" applyAlignment="1">
      <alignment horizontal="center" vertical="center"/>
    </xf>
    <xf numFmtId="0" fontId="3" fillId="29" borderId="0"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0" xfId="4" applyFont="1" applyFill="1" applyBorder="1" applyAlignment="1">
      <alignment horizontal="center" vertical="center" wrapText="1"/>
    </xf>
    <xf numFmtId="0" fontId="0" fillId="0" borderId="0" xfId="0" applyNumberFormat="1" applyFill="1" applyBorder="1" applyAlignment="1" applyProtection="1">
      <alignment wrapText="1"/>
    </xf>
    <xf numFmtId="175" fontId="22" fillId="0" borderId="1" xfId="2" applyNumberFormat="1" applyFont="1" applyFill="1" applyBorder="1" applyAlignment="1">
      <alignment vertical="center" wrapText="1"/>
    </xf>
    <xf numFmtId="0" fontId="41" fillId="0" borderId="0" xfId="0" applyNumberFormat="1" applyFont="1" applyFill="1" applyBorder="1" applyAlignment="1" applyProtection="1">
      <alignment wrapText="1"/>
    </xf>
    <xf numFmtId="175" fontId="22" fillId="0" borderId="7" xfId="2" applyNumberFormat="1" applyFont="1" applyFill="1" applyBorder="1" applyAlignment="1">
      <alignment vertical="center" wrapText="1"/>
    </xf>
    <xf numFmtId="0" fontId="0" fillId="0" borderId="0" xfId="0" applyNumberFormat="1" applyFill="1" applyBorder="1" applyAlignment="1" applyProtection="1">
      <alignment vertical="center" wrapText="1"/>
    </xf>
    <xf numFmtId="174" fontId="66" fillId="0" borderId="0" xfId="0" applyNumberFormat="1" applyFont="1" applyAlignment="1">
      <alignment horizontal="right" vertical="center"/>
    </xf>
    <xf numFmtId="174" fontId="69" fillId="0" borderId="1" xfId="0" applyNumberFormat="1" applyFont="1" applyFill="1" applyBorder="1" applyAlignment="1">
      <alignment horizontal="right" vertical="center"/>
    </xf>
    <xf numFmtId="174" fontId="69" fillId="0" borderId="0" xfId="0" applyNumberFormat="1" applyFont="1" applyFill="1" applyAlignment="1">
      <alignment horizontal="right" vertical="center"/>
    </xf>
    <xf numFmtId="4" fontId="21" fillId="0" borderId="0" xfId="0" applyNumberFormat="1" applyFont="1" applyFill="1" applyAlignment="1">
      <alignment horizontal="right" vertical="center"/>
    </xf>
    <xf numFmtId="174" fontId="68" fillId="0" borderId="1" xfId="0" applyNumberFormat="1" applyFont="1" applyFill="1" applyBorder="1" applyAlignment="1">
      <alignment horizontal="right" vertical="center"/>
    </xf>
    <xf numFmtId="174" fontId="68" fillId="0" borderId="0" xfId="0" applyNumberFormat="1" applyFont="1" applyFill="1" applyAlignment="1">
      <alignment horizontal="right" vertical="center"/>
    </xf>
    <xf numFmtId="4" fontId="22" fillId="0" borderId="0" xfId="4" applyNumberFormat="1" applyFont="1" applyFill="1" applyBorder="1" applyAlignment="1">
      <alignment horizontal="center" vertical="center"/>
    </xf>
    <xf numFmtId="3" fontId="22" fillId="0" borderId="1" xfId="1" applyNumberFormat="1" applyFont="1" applyFill="1" applyBorder="1" applyAlignment="1">
      <alignment vertical="center"/>
    </xf>
    <xf numFmtId="3" fontId="22" fillId="0" borderId="4" xfId="1" applyNumberFormat="1" applyFont="1" applyFill="1" applyBorder="1" applyAlignment="1">
      <alignment vertical="center"/>
    </xf>
    <xf numFmtId="0" fontId="22" fillId="24" borderId="0" xfId="4" applyFont="1" applyFill="1" applyBorder="1" applyAlignment="1">
      <alignment vertical="center" wrapText="1"/>
    </xf>
    <xf numFmtId="0" fontId="23" fillId="21" borderId="0" xfId="4" applyFont="1" applyFill="1" applyBorder="1" applyAlignment="1">
      <alignment horizontal="center" vertical="center" wrapText="1"/>
    </xf>
    <xf numFmtId="0" fontId="22" fillId="0" borderId="1" xfId="4" applyFont="1" applyFill="1" applyBorder="1" applyAlignment="1">
      <alignment vertical="center" wrapText="1"/>
    </xf>
    <xf numFmtId="1" fontId="2" fillId="34" borderId="1" xfId="4" applyNumberFormat="1" applyFont="1" applyFill="1" applyBorder="1" applyAlignment="1">
      <alignment horizontal="right" vertical="center"/>
    </xf>
    <xf numFmtId="4" fontId="2" fillId="34" borderId="1" xfId="4" applyNumberFormat="1" applyFont="1" applyFill="1" applyBorder="1" applyAlignment="1">
      <alignment horizontal="right" vertical="center"/>
    </xf>
    <xf numFmtId="4" fontId="3" fillId="34" borderId="1" xfId="4" applyNumberFormat="1" applyFont="1" applyFill="1" applyBorder="1" applyAlignment="1">
      <alignment horizontal="right" vertical="center"/>
    </xf>
    <xf numFmtId="1" fontId="3" fillId="34" borderId="1" xfId="1" applyNumberFormat="1" applyFont="1" applyFill="1" applyBorder="1" applyAlignment="1">
      <alignment horizontal="right" vertical="center"/>
    </xf>
    <xf numFmtId="1" fontId="2" fillId="34" borderId="1" xfId="1" applyNumberFormat="1" applyFont="1" applyFill="1" applyBorder="1" applyAlignment="1">
      <alignment horizontal="right" vertical="center"/>
    </xf>
    <xf numFmtId="4" fontId="2" fillId="34" borderId="1" xfId="1" applyNumberFormat="1" applyFont="1" applyFill="1" applyBorder="1" applyAlignment="1">
      <alignment horizontal="center" vertical="center"/>
    </xf>
    <xf numFmtId="169" fontId="3" fillId="34" borderId="1" xfId="1" applyFont="1" applyFill="1" applyBorder="1" applyAlignment="1">
      <alignment horizontal="right" vertical="center"/>
    </xf>
    <xf numFmtId="0" fontId="3" fillId="34" borderId="0" xfId="4" applyFont="1" applyFill="1" applyBorder="1" applyAlignment="1">
      <alignment vertical="center"/>
    </xf>
    <xf numFmtId="4" fontId="3" fillId="34" borderId="0" xfId="4" applyNumberFormat="1" applyFont="1" applyFill="1" applyBorder="1" applyAlignment="1">
      <alignment vertical="center"/>
    </xf>
    <xf numFmtId="4" fontId="26" fillId="34" borderId="1" xfId="1" applyNumberFormat="1" applyFont="1" applyFill="1" applyBorder="1" applyAlignment="1">
      <alignment horizontal="right" vertical="center"/>
    </xf>
    <xf numFmtId="2" fontId="3" fillId="2" borderId="1" xfId="4" applyNumberFormat="1" applyFont="1" applyFill="1" applyBorder="1" applyAlignment="1">
      <alignment horizontal="right" vertical="center"/>
    </xf>
    <xf numFmtId="2" fontId="3" fillId="35" borderId="1" xfId="4" applyNumberFormat="1" applyFont="1" applyFill="1" applyBorder="1" applyAlignment="1">
      <alignment horizontal="right" vertical="center"/>
    </xf>
    <xf numFmtId="4" fontId="3" fillId="35" borderId="1" xfId="1" applyNumberFormat="1" applyFont="1" applyFill="1" applyBorder="1" applyAlignment="1">
      <alignment horizontal="right" vertical="center"/>
    </xf>
    <xf numFmtId="4" fontId="3" fillId="35" borderId="7" xfId="1" applyNumberFormat="1" applyFont="1" applyFill="1" applyBorder="1" applyAlignment="1">
      <alignment horizontal="right" vertical="center" wrapText="1"/>
    </xf>
    <xf numFmtId="0" fontId="3" fillId="19" borderId="0" xfId="4" applyFont="1" applyFill="1" applyBorder="1" applyAlignment="1">
      <alignment vertical="center" wrapText="1"/>
    </xf>
    <xf numFmtId="0" fontId="3" fillId="43" borderId="0" xfId="4" applyFont="1" applyFill="1" applyBorder="1" applyAlignment="1">
      <alignment horizontal="center" vertical="center"/>
    </xf>
    <xf numFmtId="0" fontId="3" fillId="43" borderId="0" xfId="4" applyFont="1" applyFill="1" applyBorder="1" applyAlignment="1">
      <alignment horizontal="center" vertical="center" wrapText="1"/>
    </xf>
    <xf numFmtId="0" fontId="3" fillId="36" borderId="0" xfId="4" applyFont="1" applyFill="1" applyBorder="1" applyAlignment="1">
      <alignment horizontal="center" vertical="center" wrapText="1"/>
    </xf>
    <xf numFmtId="0" fontId="3" fillId="43" borderId="0" xfId="4" applyFont="1" applyFill="1" applyBorder="1" applyAlignment="1">
      <alignment vertical="center" wrapText="1"/>
    </xf>
    <xf numFmtId="0" fontId="3" fillId="43" borderId="0" xfId="4" applyFont="1" applyFill="1" applyBorder="1" applyAlignment="1">
      <alignment vertical="center"/>
    </xf>
    <xf numFmtId="2" fontId="2" fillId="0" borderId="0" xfId="4" applyNumberFormat="1" applyFont="1" applyFill="1" applyBorder="1" applyAlignment="1">
      <alignment horizontal="center" vertical="center"/>
    </xf>
    <xf numFmtId="1" fontId="2" fillId="0" borderId="0" xfId="4" applyNumberFormat="1" applyFont="1" applyFill="1" applyBorder="1" applyAlignment="1">
      <alignment horizontal="center" vertical="center"/>
    </xf>
    <xf numFmtId="0" fontId="3" fillId="44" borderId="0" xfId="4" applyFont="1" applyFill="1" applyBorder="1" applyAlignment="1">
      <alignment horizontal="center" vertical="center"/>
    </xf>
    <xf numFmtId="0" fontId="3" fillId="36" borderId="0" xfId="4" applyFont="1" applyFill="1" applyBorder="1" applyAlignment="1">
      <alignment horizontal="center" vertical="center"/>
    </xf>
    <xf numFmtId="0" fontId="3" fillId="19" borderId="0" xfId="4" applyFont="1" applyFill="1" applyBorder="1" applyAlignment="1">
      <alignment horizontal="center" vertical="center"/>
    </xf>
    <xf numFmtId="0" fontId="3" fillId="44" borderId="0" xfId="4" applyFont="1" applyFill="1" applyBorder="1" applyAlignment="1">
      <alignment horizontal="center" vertical="center" wrapText="1"/>
    </xf>
    <xf numFmtId="4" fontId="24" fillId="0" borderId="1" xfId="4" applyNumberFormat="1" applyFont="1" applyFill="1" applyBorder="1" applyAlignment="1">
      <alignment horizontal="right" vertical="center"/>
    </xf>
    <xf numFmtId="0" fontId="3" fillId="45" borderId="0" xfId="4" applyFont="1" applyFill="1" applyBorder="1" applyAlignment="1">
      <alignment horizontal="center" vertical="center" wrapText="1"/>
    </xf>
    <xf numFmtId="0" fontId="3" fillId="45" borderId="0" xfId="4" applyFont="1" applyFill="1" applyBorder="1" applyAlignment="1">
      <alignment horizontal="center" vertical="center"/>
    </xf>
    <xf numFmtId="0" fontId="3" fillId="19" borderId="0" xfId="4" applyFont="1" applyFill="1" applyBorder="1" applyAlignment="1">
      <alignment horizontal="center" vertical="center" wrapText="1"/>
    </xf>
    <xf numFmtId="0" fontId="3" fillId="44" borderId="0" xfId="4" applyFont="1" applyFill="1" applyBorder="1" applyAlignment="1">
      <alignment horizontal="center" vertical="center" wrapText="1"/>
    </xf>
    <xf numFmtId="177" fontId="3" fillId="0" borderId="1" xfId="1" applyNumberFormat="1" applyFont="1" applyFill="1" applyBorder="1" applyAlignment="1">
      <alignment horizontal="right" vertical="center" wrapText="1"/>
    </xf>
    <xf numFmtId="0" fontId="3" fillId="44" borderId="25" xfId="4" applyFont="1" applyFill="1" applyBorder="1" applyAlignment="1">
      <alignment horizontal="center" vertical="center" wrapText="1"/>
    </xf>
    <xf numFmtId="3" fontId="3" fillId="35" borderId="4" xfId="1" applyNumberFormat="1" applyFont="1" applyFill="1" applyBorder="1" applyAlignment="1">
      <alignment vertical="center" wrapText="1"/>
    </xf>
    <xf numFmtId="1" fontId="3" fillId="0" borderId="1" xfId="4" applyNumberFormat="1" applyFont="1" applyFill="1" applyBorder="1" applyAlignment="1">
      <alignment horizontal="left" vertical="center" wrapText="1"/>
    </xf>
    <xf numFmtId="2" fontId="3" fillId="0" borderId="0" xfId="4" applyNumberFormat="1" applyFont="1" applyFill="1" applyBorder="1" applyAlignment="1">
      <alignment horizontal="center" vertical="center"/>
    </xf>
    <xf numFmtId="2" fontId="3" fillId="36" borderId="0" xfId="4" applyNumberFormat="1" applyFont="1" applyFill="1" applyBorder="1" applyAlignment="1">
      <alignment horizontal="center" vertical="center"/>
    </xf>
    <xf numFmtId="0" fontId="2" fillId="36" borderId="0" xfId="4" applyFont="1" applyFill="1" applyBorder="1" applyAlignment="1">
      <alignment horizontal="center" vertical="center" wrapText="1"/>
    </xf>
    <xf numFmtId="0" fontId="3" fillId="36" borderId="1" xfId="4" applyFont="1" applyFill="1" applyBorder="1" applyAlignment="1">
      <alignment horizontal="center" vertical="center" wrapText="1"/>
    </xf>
    <xf numFmtId="2" fontId="2" fillId="36" borderId="1" xfId="4" applyNumberFormat="1" applyFont="1" applyFill="1" applyBorder="1" applyAlignment="1">
      <alignment horizontal="center" vertical="center"/>
    </xf>
    <xf numFmtId="0" fontId="2" fillId="44" borderId="0" xfId="4" applyFont="1" applyFill="1" applyBorder="1" applyAlignment="1">
      <alignment horizontal="center" vertical="center"/>
    </xf>
    <xf numFmtId="0" fontId="24" fillId="44" borderId="0" xfId="4" applyFont="1" applyFill="1" applyBorder="1" applyAlignment="1">
      <alignment horizontal="center" vertical="center" wrapText="1"/>
    </xf>
    <xf numFmtId="0" fontId="25" fillId="44" borderId="0" xfId="4" applyFont="1" applyFill="1" applyBorder="1" applyAlignment="1">
      <alignment horizontal="center" vertical="center"/>
    </xf>
    <xf numFmtId="2" fontId="3" fillId="0" borderId="0" xfId="4" applyNumberFormat="1" applyFont="1" applyFill="1" applyBorder="1" applyAlignment="1">
      <alignment horizontal="center" vertical="center" wrapText="1"/>
    </xf>
    <xf numFmtId="0" fontId="3" fillId="44" borderId="0" xfId="4" applyFont="1" applyFill="1" applyBorder="1" applyAlignment="1">
      <alignment vertical="center"/>
    </xf>
    <xf numFmtId="0" fontId="3" fillId="44" borderId="0" xfId="4" applyFont="1" applyFill="1" applyBorder="1" applyAlignment="1">
      <alignment vertical="center" wrapText="1"/>
    </xf>
    <xf numFmtId="0" fontId="3" fillId="44" borderId="0" xfId="4" applyFont="1" applyFill="1" applyBorder="1" applyAlignment="1">
      <alignment horizontal="center" vertical="center" wrapText="1"/>
    </xf>
    <xf numFmtId="1" fontId="24" fillId="0" borderId="1" xfId="4" applyNumberFormat="1" applyFont="1" applyFill="1" applyBorder="1" applyAlignment="1">
      <alignment horizontal="left" vertical="center" wrapText="1"/>
    </xf>
    <xf numFmtId="3" fontId="24" fillId="0" borderId="4" xfId="1" applyNumberFormat="1" applyFont="1" applyFill="1" applyBorder="1" applyAlignment="1">
      <alignment horizontal="center" vertical="center" wrapText="1"/>
    </xf>
    <xf numFmtId="2" fontId="3" fillId="0" borderId="1" xfId="4" applyNumberFormat="1" applyFont="1" applyFill="1" applyBorder="1" applyAlignment="1">
      <alignment horizontal="right" vertical="center"/>
    </xf>
    <xf numFmtId="179" fontId="26" fillId="44" borderId="0" xfId="14" applyNumberFormat="1" applyFont="1" applyFill="1" applyBorder="1" applyAlignment="1">
      <alignment horizontal="right" vertical="center" wrapText="1"/>
    </xf>
    <xf numFmtId="0" fontId="2" fillId="46" borderId="1" xfId="4" applyFont="1" applyFill="1" applyBorder="1" applyAlignment="1">
      <alignment horizontal="justify" vertical="center" wrapText="1"/>
    </xf>
    <xf numFmtId="4" fontId="2" fillId="46" borderId="1" xfId="1" applyNumberFormat="1" applyFont="1" applyFill="1" applyBorder="1" applyAlignment="1">
      <alignment horizontal="right" vertical="center"/>
    </xf>
    <xf numFmtId="1" fontId="24" fillId="0" borderId="7" xfId="4" applyNumberFormat="1" applyFont="1" applyFill="1" applyBorder="1" applyAlignment="1">
      <alignment horizontal="right" vertical="center"/>
    </xf>
    <xf numFmtId="0" fontId="3" fillId="0" borderId="4" xfId="4" applyFont="1" applyFill="1" applyBorder="1" applyAlignment="1">
      <alignment horizontal="justify" vertical="center"/>
    </xf>
    <xf numFmtId="3" fontId="3" fillId="0" borderId="4" xfId="1" applyNumberFormat="1" applyFont="1" applyFill="1" applyBorder="1" applyAlignment="1">
      <alignment horizontal="right" vertical="center"/>
    </xf>
    <xf numFmtId="0" fontId="2" fillId="30" borderId="1" xfId="4" applyFont="1" applyFill="1" applyBorder="1" applyAlignment="1">
      <alignment horizontal="center" vertical="center" wrapText="1"/>
    </xf>
    <xf numFmtId="0" fontId="3" fillId="0" borderId="7" xfId="4" applyFont="1" applyFill="1" applyBorder="1" applyAlignment="1">
      <alignment horizontal="justify" vertical="center" wrapText="1"/>
    </xf>
    <xf numFmtId="0" fontId="3" fillId="2" borderId="1" xfId="4" applyFont="1" applyFill="1" applyBorder="1" applyAlignment="1">
      <alignment horizontal="justify" vertical="center" wrapText="1"/>
    </xf>
    <xf numFmtId="0" fontId="3" fillId="2" borderId="4" xfId="4" applyFont="1" applyFill="1" applyBorder="1" applyAlignment="1">
      <alignment horizontal="justify" vertical="center" wrapText="1"/>
    </xf>
    <xf numFmtId="0" fontId="3" fillId="0" borderId="4" xfId="4" applyFont="1" applyFill="1" applyBorder="1" applyAlignment="1">
      <alignment horizontal="left" vertical="center" wrapText="1"/>
    </xf>
    <xf numFmtId="169" fontId="3" fillId="0" borderId="1" xfId="1" applyFont="1" applyFill="1" applyBorder="1" applyAlignment="1">
      <alignment horizontal="right" vertical="center"/>
    </xf>
    <xf numFmtId="1" fontId="24" fillId="0" borderId="7" xfId="4" applyNumberFormat="1" applyFont="1" applyFill="1" applyBorder="1" applyAlignment="1">
      <alignment horizontal="left" vertical="center" wrapText="1"/>
    </xf>
    <xf numFmtId="0" fontId="3" fillId="2" borderId="4" xfId="4" applyFont="1" applyFill="1" applyBorder="1" applyAlignment="1">
      <alignment horizontal="center" vertical="center"/>
    </xf>
    <xf numFmtId="0" fontId="3" fillId="0" borderId="4" xfId="4" applyFont="1" applyFill="1" applyBorder="1" applyAlignment="1">
      <alignment horizontal="left" vertical="center"/>
    </xf>
    <xf numFmtId="0" fontId="3" fillId="2" borderId="1" xfId="4" applyFont="1" applyFill="1" applyBorder="1" applyAlignment="1">
      <alignment horizontal="left" vertical="center"/>
    </xf>
    <xf numFmtId="1" fontId="24" fillId="0" borderId="7" xfId="4" applyNumberFormat="1" applyFont="1" applyFill="1" applyBorder="1" applyAlignment="1">
      <alignment horizontal="center" vertical="center" wrapText="1"/>
    </xf>
    <xf numFmtId="0" fontId="3" fillId="2" borderId="6" xfId="4" applyFont="1" applyFill="1" applyBorder="1" applyAlignment="1">
      <alignment horizontal="justify" vertical="center" wrapText="1"/>
    </xf>
    <xf numFmtId="0" fontId="3" fillId="0" borderId="1" xfId="4" applyFont="1" applyFill="1" applyBorder="1" applyAlignment="1">
      <alignment horizontal="left" vertical="center"/>
    </xf>
    <xf numFmtId="4" fontId="3" fillId="0" borderId="1" xfId="1" applyNumberFormat="1" applyFont="1" applyFill="1" applyBorder="1" applyAlignment="1">
      <alignment horizontal="right" vertical="center"/>
    </xf>
    <xf numFmtId="4" fontId="3" fillId="0" borderId="4" xfId="1" applyNumberFormat="1" applyFont="1" applyFill="1" applyBorder="1" applyAlignment="1">
      <alignment horizontal="right" vertical="center"/>
    </xf>
    <xf numFmtId="4" fontId="3" fillId="0" borderId="7" xfId="1" applyNumberFormat="1" applyFont="1" applyFill="1" applyBorder="1" applyAlignment="1">
      <alignment horizontal="right" vertical="center"/>
    </xf>
    <xf numFmtId="0" fontId="2" fillId="16" borderId="1" xfId="4" applyFont="1" applyFill="1" applyBorder="1" applyAlignment="1">
      <alignment horizontal="right" vertical="center" wrapText="1"/>
    </xf>
    <xf numFmtId="177" fontId="2" fillId="16" borderId="1" xfId="4" applyNumberFormat="1" applyFont="1" applyFill="1" applyBorder="1" applyAlignment="1">
      <alignment horizontal="center" vertical="center" wrapText="1"/>
    </xf>
    <xf numFmtId="0" fontId="2" fillId="47" borderId="1" xfId="4" applyFont="1" applyFill="1" applyBorder="1" applyAlignment="1">
      <alignment horizontal="justify" vertical="center" wrapText="1"/>
    </xf>
    <xf numFmtId="4" fontId="2" fillId="47" borderId="1" xfId="1" applyNumberFormat="1" applyFont="1" applyFill="1" applyBorder="1" applyAlignment="1">
      <alignment horizontal="justify" vertical="center"/>
    </xf>
    <xf numFmtId="4" fontId="2" fillId="47" borderId="1" xfId="1" applyNumberFormat="1" applyFont="1" applyFill="1" applyBorder="1" applyAlignment="1">
      <alignment horizontal="left" vertical="center"/>
    </xf>
    <xf numFmtId="1" fontId="2" fillId="47" borderId="1" xfId="1" applyNumberFormat="1" applyFont="1" applyFill="1" applyBorder="1" applyAlignment="1">
      <alignment horizontal="right" vertical="center"/>
    </xf>
    <xf numFmtId="4" fontId="2" fillId="47" borderId="1" xfId="1" applyNumberFormat="1" applyFont="1" applyFill="1" applyBorder="1" applyAlignment="1">
      <alignment horizontal="right" vertical="center"/>
    </xf>
    <xf numFmtId="1" fontId="2" fillId="47" borderId="1" xfId="1" applyNumberFormat="1" applyFont="1" applyFill="1" applyBorder="1" applyAlignment="1">
      <alignment horizontal="left" vertical="center" wrapText="1"/>
    </xf>
    <xf numFmtId="177" fontId="2" fillId="47" borderId="1" xfId="1" applyNumberFormat="1" applyFont="1" applyFill="1" applyBorder="1" applyAlignment="1">
      <alignment horizontal="right" vertical="center"/>
    </xf>
    <xf numFmtId="1" fontId="2" fillId="47" borderId="1" xfId="1" applyNumberFormat="1" applyFont="1" applyFill="1" applyBorder="1" applyAlignment="1">
      <alignment horizontal="left" vertical="center"/>
    </xf>
    <xf numFmtId="0" fontId="2" fillId="47" borderId="1" xfId="4" applyFont="1" applyFill="1" applyBorder="1" applyAlignment="1">
      <alignment horizontal="center" vertical="center"/>
    </xf>
    <xf numFmtId="0" fontId="2" fillId="47" borderId="1" xfId="4" applyFont="1" applyFill="1" applyBorder="1" applyAlignment="1">
      <alignment horizontal="left" vertical="center" wrapText="1"/>
    </xf>
    <xf numFmtId="0" fontId="2" fillId="47" borderId="1" xfId="4" applyFont="1" applyFill="1" applyBorder="1" applyAlignment="1">
      <alignment horizontal="justify" vertical="top" wrapText="1"/>
    </xf>
    <xf numFmtId="4" fontId="2" fillId="47" borderId="1" xfId="1" applyNumberFormat="1" applyFont="1" applyFill="1" applyBorder="1" applyAlignment="1">
      <alignment horizontal="left" vertical="center" wrapText="1"/>
    </xf>
    <xf numFmtId="3" fontId="2" fillId="47" borderId="1" xfId="1" applyNumberFormat="1" applyFont="1" applyFill="1" applyBorder="1" applyAlignment="1">
      <alignment horizontal="right" vertical="center"/>
    </xf>
    <xf numFmtId="0" fontId="2" fillId="47" borderId="7" xfId="4" applyFont="1" applyFill="1" applyBorder="1" applyAlignment="1">
      <alignment horizontal="center" vertical="center" wrapText="1"/>
    </xf>
    <xf numFmtId="1" fontId="2" fillId="47" borderId="1" xfId="4" applyNumberFormat="1" applyFont="1" applyFill="1" applyBorder="1" applyAlignment="1">
      <alignment horizontal="right" vertical="center" wrapText="1"/>
    </xf>
    <xf numFmtId="2" fontId="2" fillId="47" borderId="1" xfId="4" applyNumberFormat="1" applyFont="1" applyFill="1" applyBorder="1" applyAlignment="1">
      <alignment horizontal="left" vertical="center" wrapText="1"/>
    </xf>
    <xf numFmtId="1" fontId="2" fillId="47" borderId="1" xfId="4" applyNumberFormat="1" applyFont="1" applyFill="1" applyBorder="1" applyAlignment="1">
      <alignment horizontal="left" vertical="center" wrapText="1"/>
    </xf>
    <xf numFmtId="4" fontId="2" fillId="47" borderId="1" xfId="4" applyNumberFormat="1" applyFont="1" applyFill="1" applyBorder="1" applyAlignment="1">
      <alignment horizontal="right" vertical="center" wrapText="1"/>
    </xf>
    <xf numFmtId="2" fontId="2" fillId="47" borderId="1" xfId="4" applyNumberFormat="1" applyFont="1" applyFill="1" applyBorder="1" applyAlignment="1">
      <alignment horizontal="right" vertical="center" wrapText="1"/>
    </xf>
    <xf numFmtId="1" fontId="2" fillId="47" borderId="1" xfId="1" applyNumberFormat="1" applyFont="1" applyFill="1" applyBorder="1" applyAlignment="1">
      <alignment horizontal="right" vertical="center" wrapText="1"/>
    </xf>
    <xf numFmtId="4" fontId="2" fillId="47" borderId="1" xfId="1" applyNumberFormat="1" applyFont="1" applyFill="1" applyBorder="1" applyAlignment="1">
      <alignment horizontal="right" vertical="center" wrapText="1"/>
    </xf>
    <xf numFmtId="0" fontId="2" fillId="47" borderId="1" xfId="4" applyFont="1" applyFill="1" applyBorder="1" applyAlignment="1">
      <alignment horizontal="center" vertical="center" wrapText="1"/>
    </xf>
    <xf numFmtId="177" fontId="2" fillId="47" borderId="1" xfId="4" applyNumberFormat="1" applyFont="1" applyFill="1" applyBorder="1" applyAlignment="1">
      <alignment horizontal="left" vertical="center" wrapText="1"/>
    </xf>
    <xf numFmtId="4" fontId="2" fillId="47" borderId="7" xfId="1" applyNumberFormat="1" applyFont="1" applyFill="1" applyBorder="1" applyAlignment="1">
      <alignment horizontal="right" vertical="center"/>
    </xf>
    <xf numFmtId="4" fontId="2" fillId="47" borderId="7" xfId="4" applyNumberFormat="1" applyFont="1" applyFill="1" applyBorder="1" applyAlignment="1">
      <alignment horizontal="right" vertical="center" wrapText="1"/>
    </xf>
    <xf numFmtId="1" fontId="2" fillId="47" borderId="7" xfId="1" applyNumberFormat="1" applyFont="1" applyFill="1" applyBorder="1" applyAlignment="1">
      <alignment horizontal="left" vertical="center"/>
    </xf>
    <xf numFmtId="0" fontId="2" fillId="47" borderId="7" xfId="4" applyFont="1" applyFill="1" applyBorder="1" applyAlignment="1">
      <alignment horizontal="left" vertical="center" wrapText="1"/>
    </xf>
    <xf numFmtId="0" fontId="2" fillId="47" borderId="7" xfId="4" applyFont="1" applyFill="1" applyBorder="1" applyAlignment="1">
      <alignment horizontal="left" vertical="center"/>
    </xf>
    <xf numFmtId="0" fontId="2" fillId="48" borderId="1" xfId="4" applyFont="1" applyFill="1" applyBorder="1" applyAlignment="1">
      <alignment horizontal="justify" vertical="center" wrapText="1"/>
    </xf>
    <xf numFmtId="3" fontId="2" fillId="48" borderId="1" xfId="4" applyNumberFormat="1" applyFont="1" applyFill="1" applyBorder="1" applyAlignment="1">
      <alignment horizontal="left" vertical="center" wrapText="1"/>
    </xf>
    <xf numFmtId="1" fontId="2" fillId="48" borderId="1" xfId="4" applyNumberFormat="1" applyFont="1" applyFill="1" applyBorder="1" applyAlignment="1">
      <alignment horizontal="right" vertical="center" wrapText="1"/>
    </xf>
    <xf numFmtId="1" fontId="2" fillId="48" borderId="1" xfId="4" applyNumberFormat="1" applyFont="1" applyFill="1" applyBorder="1" applyAlignment="1">
      <alignment horizontal="left" vertical="center" wrapText="1"/>
    </xf>
    <xf numFmtId="4" fontId="2" fillId="48" borderId="1" xfId="4" applyNumberFormat="1" applyFont="1" applyFill="1" applyBorder="1" applyAlignment="1">
      <alignment horizontal="right" vertical="center" wrapText="1"/>
    </xf>
    <xf numFmtId="2" fontId="2" fillId="47" borderId="1" xfId="1" applyNumberFormat="1" applyFont="1" applyFill="1" applyBorder="1" applyAlignment="1">
      <alignment horizontal="right" vertical="center"/>
    </xf>
    <xf numFmtId="4" fontId="2" fillId="48" borderId="7" xfId="4" applyNumberFormat="1" applyFont="1" applyFill="1" applyBorder="1" applyAlignment="1">
      <alignment horizontal="right" vertical="center" wrapText="1"/>
    </xf>
    <xf numFmtId="1" fontId="2" fillId="48" borderId="7" xfId="4" applyNumberFormat="1" applyFont="1" applyFill="1" applyBorder="1" applyAlignment="1">
      <alignment horizontal="left" vertical="center" wrapText="1"/>
    </xf>
    <xf numFmtId="0" fontId="25" fillId="47" borderId="7" xfId="4" applyFont="1" applyFill="1" applyBorder="1" applyAlignment="1">
      <alignment horizontal="center" vertical="center" wrapText="1"/>
    </xf>
    <xf numFmtId="0" fontId="33" fillId="47" borderId="1" xfId="4" applyFont="1" applyFill="1" applyBorder="1" applyAlignment="1">
      <alignment horizontal="justify" vertical="center" wrapText="1"/>
    </xf>
    <xf numFmtId="0" fontId="2" fillId="47" borderId="1" xfId="4" applyFont="1" applyFill="1" applyBorder="1" applyAlignment="1">
      <alignment horizontal="left" vertical="center"/>
    </xf>
    <xf numFmtId="1" fontId="2" fillId="47" borderId="1" xfId="4" applyNumberFormat="1" applyFont="1" applyFill="1" applyBorder="1" applyAlignment="1">
      <alignment horizontal="right" vertical="center"/>
    </xf>
    <xf numFmtId="4" fontId="2" fillId="47" borderId="1" xfId="4" applyNumberFormat="1" applyFont="1" applyFill="1" applyBorder="1" applyAlignment="1">
      <alignment horizontal="right" vertical="center"/>
    </xf>
    <xf numFmtId="2" fontId="2" fillId="47" borderId="1" xfId="4" applyNumberFormat="1" applyFont="1" applyFill="1" applyBorder="1" applyAlignment="1">
      <alignment horizontal="right" vertical="center"/>
    </xf>
    <xf numFmtId="1" fontId="2" fillId="46" borderId="1" xfId="4" applyNumberFormat="1" applyFont="1" applyFill="1" applyBorder="1" applyAlignment="1">
      <alignment horizontal="right" vertical="center"/>
    </xf>
    <xf numFmtId="0" fontId="2" fillId="46" borderId="1" xfId="4" applyFont="1" applyFill="1" applyBorder="1" applyAlignment="1">
      <alignment horizontal="right" vertical="center"/>
    </xf>
    <xf numFmtId="0" fontId="2" fillId="46" borderId="1" xfId="4" applyFont="1" applyFill="1" applyBorder="1" applyAlignment="1">
      <alignment horizontal="justify" vertical="center"/>
    </xf>
    <xf numFmtId="4" fontId="2" fillId="46" borderId="0" xfId="1" applyNumberFormat="1" applyFont="1" applyFill="1" applyBorder="1" applyAlignment="1">
      <alignment horizontal="justify" vertical="center"/>
    </xf>
    <xf numFmtId="0" fontId="2" fillId="46" borderId="1" xfId="4" applyFont="1" applyFill="1" applyBorder="1" applyAlignment="1">
      <alignment horizontal="left" vertical="center"/>
    </xf>
    <xf numFmtId="0" fontId="2" fillId="46" borderId="5" xfId="4" applyFont="1" applyFill="1" applyBorder="1" applyAlignment="1">
      <alignment horizontal="justify" vertical="center" wrapText="1"/>
    </xf>
    <xf numFmtId="0" fontId="2" fillId="46" borderId="1" xfId="4" applyFont="1" applyFill="1" applyBorder="1" applyAlignment="1">
      <alignment horizontal="right" vertical="center" wrapText="1"/>
    </xf>
    <xf numFmtId="0" fontId="1" fillId="46" borderId="1" xfId="4" applyFont="1" applyFill="1" applyBorder="1" applyAlignment="1">
      <alignment horizontal="justify" vertical="center"/>
    </xf>
    <xf numFmtId="4" fontId="2" fillId="46" borderId="1" xfId="4" applyNumberFormat="1" applyFont="1" applyFill="1" applyBorder="1" applyAlignment="1">
      <alignment horizontal="right" vertical="center"/>
    </xf>
    <xf numFmtId="0" fontId="2" fillId="46" borderId="4" xfId="4" applyFont="1" applyFill="1" applyBorder="1" applyAlignment="1">
      <alignment horizontal="justify" vertical="top" wrapText="1"/>
    </xf>
    <xf numFmtId="0" fontId="3" fillId="46" borderId="4" xfId="4" applyFont="1" applyFill="1" applyBorder="1" applyAlignment="1">
      <alignment horizontal="justify" vertical="top" wrapText="1"/>
    </xf>
    <xf numFmtId="0" fontId="2" fillId="46" borderId="4" xfId="4" applyFont="1" applyFill="1" applyBorder="1" applyAlignment="1">
      <alignment horizontal="right" vertical="top" wrapText="1"/>
    </xf>
    <xf numFmtId="4" fontId="3" fillId="46" borderId="4" xfId="1" applyNumberFormat="1" applyFont="1" applyFill="1" applyBorder="1" applyAlignment="1">
      <alignment horizontal="right" vertical="center"/>
    </xf>
    <xf numFmtId="4" fontId="3" fillId="46" borderId="4" xfId="1" applyNumberFormat="1" applyFont="1" applyFill="1" applyBorder="1" applyAlignment="1">
      <alignment horizontal="center" vertical="center"/>
    </xf>
    <xf numFmtId="4" fontId="3" fillId="46" borderId="4" xfId="1" applyNumberFormat="1" applyFont="1" applyFill="1" applyBorder="1" applyAlignment="1">
      <alignment horizontal="left" vertical="center"/>
    </xf>
    <xf numFmtId="1" fontId="3" fillId="46" borderId="4" xfId="1" applyNumberFormat="1" applyFont="1" applyFill="1" applyBorder="1" applyAlignment="1">
      <alignment horizontal="right" vertical="center"/>
    </xf>
    <xf numFmtId="1" fontId="3" fillId="46" borderId="4" xfId="1" applyNumberFormat="1" applyFont="1" applyFill="1" applyBorder="1" applyAlignment="1">
      <alignment horizontal="left" vertical="center" wrapText="1"/>
    </xf>
    <xf numFmtId="1" fontId="3" fillId="46" borderId="4" xfId="1" applyNumberFormat="1" applyFont="1" applyFill="1" applyBorder="1" applyAlignment="1">
      <alignment horizontal="left" vertical="center"/>
    </xf>
    <xf numFmtId="2" fontId="2" fillId="46" borderId="1" xfId="4" applyNumberFormat="1" applyFont="1" applyFill="1" applyBorder="1" applyAlignment="1">
      <alignment horizontal="right" vertical="center"/>
    </xf>
    <xf numFmtId="0" fontId="2" fillId="46" borderId="1" xfId="4" applyFont="1" applyFill="1" applyBorder="1" applyAlignment="1">
      <alignment vertical="center"/>
    </xf>
    <xf numFmtId="4" fontId="2" fillId="46" borderId="1" xfId="4" applyNumberFormat="1" applyFont="1" applyFill="1" applyBorder="1" applyAlignment="1">
      <alignment vertical="center"/>
    </xf>
    <xf numFmtId="0" fontId="2" fillId="46" borderId="1" xfId="4" applyFont="1" applyFill="1" applyBorder="1" applyAlignment="1">
      <alignment horizontal="left" vertical="center" wrapText="1"/>
    </xf>
    <xf numFmtId="1" fontId="3" fillId="46" borderId="1" xfId="4" applyNumberFormat="1" applyFont="1" applyFill="1" applyBorder="1" applyAlignment="1">
      <alignment horizontal="right" vertical="center"/>
    </xf>
    <xf numFmtId="3" fontId="2" fillId="46" borderId="1" xfId="4" applyNumberFormat="1" applyFont="1" applyFill="1" applyBorder="1" applyAlignment="1">
      <alignment horizontal="center" vertical="center"/>
    </xf>
    <xf numFmtId="4" fontId="2" fillId="46" borderId="1" xfId="1" applyNumberFormat="1" applyFont="1" applyFill="1" applyBorder="1" applyAlignment="1">
      <alignment horizontal="justify" vertical="center"/>
    </xf>
    <xf numFmtId="4" fontId="2" fillId="46" borderId="1" xfId="1" applyNumberFormat="1" applyFont="1" applyFill="1" applyBorder="1" applyAlignment="1">
      <alignment horizontal="left" vertical="center"/>
    </xf>
    <xf numFmtId="1" fontId="2" fillId="46" borderId="1" xfId="1" applyNumberFormat="1" applyFont="1" applyFill="1" applyBorder="1" applyAlignment="1">
      <alignment horizontal="right" vertical="center"/>
    </xf>
    <xf numFmtId="2" fontId="2" fillId="46" borderId="1" xfId="1" applyNumberFormat="1" applyFont="1" applyFill="1" applyBorder="1" applyAlignment="1">
      <alignment horizontal="right" vertical="center"/>
    </xf>
    <xf numFmtId="0" fontId="2" fillId="46" borderId="7" xfId="4" applyFont="1" applyFill="1" applyBorder="1" applyAlignment="1">
      <alignment horizontal="justify" vertical="center" wrapText="1"/>
    </xf>
    <xf numFmtId="0" fontId="2" fillId="46" borderId="6" xfId="4" applyFont="1" applyFill="1" applyBorder="1" applyAlignment="1">
      <alignment horizontal="justify" vertical="center" wrapText="1"/>
    </xf>
    <xf numFmtId="0" fontId="2" fillId="46" borderId="7" xfId="4" applyFont="1" applyFill="1" applyBorder="1" applyAlignment="1">
      <alignment horizontal="right" vertical="center"/>
    </xf>
    <xf numFmtId="0" fontId="2" fillId="46" borderId="7" xfId="4" applyFont="1" applyFill="1" applyBorder="1" applyAlignment="1">
      <alignment horizontal="justify" vertical="center"/>
    </xf>
    <xf numFmtId="0" fontId="25" fillId="46" borderId="7" xfId="4" applyFont="1" applyFill="1" applyBorder="1" applyAlignment="1">
      <alignment horizontal="justify" vertical="center" wrapText="1"/>
    </xf>
    <xf numFmtId="0" fontId="2" fillId="46" borderId="7" xfId="4" applyFont="1" applyFill="1" applyBorder="1" applyAlignment="1">
      <alignment horizontal="left" vertical="center"/>
    </xf>
    <xf numFmtId="1" fontId="2" fillId="46" borderId="7" xfId="4" applyNumberFormat="1" applyFont="1" applyFill="1" applyBorder="1" applyAlignment="1">
      <alignment horizontal="right" vertical="center"/>
    </xf>
    <xf numFmtId="4" fontId="2" fillId="46" borderId="7" xfId="4" applyNumberFormat="1" applyFont="1" applyFill="1" applyBorder="1" applyAlignment="1">
      <alignment horizontal="right" vertical="center"/>
    </xf>
    <xf numFmtId="4" fontId="2" fillId="46" borderId="6" xfId="4" applyNumberFormat="1" applyFont="1" applyFill="1" applyBorder="1" applyAlignment="1">
      <alignment horizontal="right" vertical="center"/>
    </xf>
    <xf numFmtId="1" fontId="2" fillId="46" borderId="6" xfId="1" applyNumberFormat="1" applyFont="1" applyFill="1" applyBorder="1" applyAlignment="1">
      <alignment horizontal="left" vertical="center"/>
    </xf>
    <xf numFmtId="0" fontId="33" fillId="46" borderId="1" xfId="4" applyFont="1" applyFill="1" applyBorder="1" applyAlignment="1">
      <alignment horizontal="justify" vertical="center" wrapText="1"/>
    </xf>
    <xf numFmtId="0" fontId="24" fillId="46" borderId="1" xfId="4" applyFont="1" applyFill="1" applyBorder="1" applyAlignment="1">
      <alignment horizontal="justify" vertical="center" wrapText="1"/>
    </xf>
    <xf numFmtId="0" fontId="33" fillId="46" borderId="1" xfId="4" applyFont="1" applyFill="1" applyBorder="1" applyAlignment="1">
      <alignment horizontal="right" vertical="center" wrapText="1"/>
    </xf>
    <xf numFmtId="0" fontId="24" fillId="46" borderId="1" xfId="4" applyFont="1" applyFill="1" applyBorder="1" applyAlignment="1">
      <alignment horizontal="justify" vertical="center"/>
    </xf>
    <xf numFmtId="0" fontId="26" fillId="46" borderId="1" xfId="4" applyFont="1" applyFill="1" applyBorder="1" applyAlignment="1">
      <alignment horizontal="left" vertical="center"/>
    </xf>
    <xf numFmtId="1" fontId="26" fillId="46" borderId="1" xfId="4" applyNumberFormat="1" applyFont="1" applyFill="1" applyBorder="1" applyAlignment="1">
      <alignment horizontal="right" vertical="center"/>
    </xf>
    <xf numFmtId="4" fontId="24" fillId="46" borderId="1" xfId="4" applyNumberFormat="1" applyFont="1" applyFill="1" applyBorder="1" applyAlignment="1">
      <alignment horizontal="right" vertical="center"/>
    </xf>
    <xf numFmtId="1" fontId="24" fillId="46" borderId="1" xfId="4" applyNumberFormat="1" applyFont="1" applyFill="1" applyBorder="1" applyAlignment="1">
      <alignment horizontal="left" vertical="center" wrapText="1"/>
    </xf>
    <xf numFmtId="4" fontId="33" fillId="46" borderId="1" xfId="4" applyNumberFormat="1" applyFont="1" applyFill="1" applyBorder="1" applyAlignment="1">
      <alignment vertical="center"/>
    </xf>
    <xf numFmtId="1" fontId="24" fillId="46" borderId="1" xfId="4" applyNumberFormat="1" applyFont="1" applyFill="1" applyBorder="1" applyAlignment="1">
      <alignment horizontal="right" vertical="center"/>
    </xf>
    <xf numFmtId="1" fontId="24" fillId="46" borderId="1" xfId="1" applyNumberFormat="1" applyFont="1" applyFill="1" applyBorder="1" applyAlignment="1">
      <alignment horizontal="right" vertical="center"/>
    </xf>
    <xf numFmtId="4" fontId="24" fillId="46" borderId="1" xfId="1" applyNumberFormat="1" applyFont="1" applyFill="1" applyBorder="1" applyAlignment="1">
      <alignment horizontal="right" vertical="center"/>
    </xf>
    <xf numFmtId="1" fontId="3" fillId="46" borderId="1" xfId="1" applyNumberFormat="1" applyFont="1" applyFill="1" applyBorder="1" applyAlignment="1">
      <alignment horizontal="left" vertical="center"/>
    </xf>
    <xf numFmtId="0" fontId="1" fillId="46" borderId="1" xfId="4" applyFont="1" applyFill="1" applyBorder="1" applyAlignment="1">
      <alignment horizontal="justify" vertical="center" wrapText="1"/>
    </xf>
    <xf numFmtId="1" fontId="2" fillId="46" borderId="1" xfId="1" applyNumberFormat="1" applyFont="1" applyFill="1" applyBorder="1" applyAlignment="1">
      <alignment horizontal="left" vertical="center"/>
    </xf>
    <xf numFmtId="169" fontId="33" fillId="46" borderId="1" xfId="1" applyFont="1" applyFill="1" applyBorder="1" applyAlignment="1">
      <alignment horizontal="justify" vertical="center"/>
    </xf>
    <xf numFmtId="4" fontId="33" fillId="46" borderId="1" xfId="1" applyNumberFormat="1" applyFont="1" applyFill="1" applyBorder="1" applyAlignment="1">
      <alignment horizontal="justify" vertical="center"/>
    </xf>
    <xf numFmtId="4" fontId="33" fillId="46" borderId="1" xfId="1" applyNumberFormat="1" applyFont="1" applyFill="1" applyBorder="1" applyAlignment="1">
      <alignment horizontal="justify" vertical="center" wrapText="1"/>
    </xf>
    <xf numFmtId="3" fontId="33" fillId="46" borderId="1" xfId="1" applyNumberFormat="1" applyFont="1" applyFill="1" applyBorder="1" applyAlignment="1">
      <alignment horizontal="left" vertical="center"/>
    </xf>
    <xf numFmtId="1" fontId="33" fillId="46" borderId="1" xfId="1" applyNumberFormat="1" applyFont="1" applyFill="1" applyBorder="1" applyAlignment="1">
      <alignment horizontal="right" vertical="center"/>
    </xf>
    <xf numFmtId="4" fontId="33" fillId="46" borderId="1" xfId="1" applyNumberFormat="1" applyFont="1" applyFill="1" applyBorder="1" applyAlignment="1">
      <alignment horizontal="right" vertical="center"/>
    </xf>
    <xf numFmtId="4" fontId="3" fillId="46" borderId="1" xfId="1" applyNumberFormat="1" applyFont="1" applyFill="1" applyBorder="1" applyAlignment="1">
      <alignment horizontal="justify" vertical="center"/>
    </xf>
    <xf numFmtId="4" fontId="3" fillId="46" borderId="1" xfId="1" applyNumberFormat="1" applyFont="1" applyFill="1" applyBorder="1" applyAlignment="1">
      <alignment horizontal="left" vertical="center"/>
    </xf>
    <xf numFmtId="1" fontId="3" fillId="46" borderId="1" xfId="1" applyNumberFormat="1" applyFont="1" applyFill="1" applyBorder="1" applyAlignment="1">
      <alignment horizontal="right" vertical="center"/>
    </xf>
    <xf numFmtId="4" fontId="3" fillId="46" borderId="1" xfId="1" applyNumberFormat="1" applyFont="1" applyFill="1" applyBorder="1" applyAlignment="1">
      <alignment horizontal="right" vertical="center"/>
    </xf>
    <xf numFmtId="4" fontId="24" fillId="46" borderId="1" xfId="1" applyNumberFormat="1" applyFont="1" applyFill="1" applyBorder="1" applyAlignment="1">
      <alignment horizontal="justify" vertical="center"/>
    </xf>
    <xf numFmtId="4" fontId="24" fillId="46" borderId="1" xfId="1" applyNumberFormat="1" applyFont="1" applyFill="1" applyBorder="1" applyAlignment="1">
      <alignment horizontal="left" vertical="center"/>
    </xf>
    <xf numFmtId="4" fontId="33" fillId="46" borderId="6" xfId="1" applyNumberFormat="1" applyFont="1" applyFill="1" applyBorder="1" applyAlignment="1">
      <alignment horizontal="right" vertical="center"/>
    </xf>
    <xf numFmtId="0" fontId="24" fillId="46" borderId="0" xfId="4" applyFont="1" applyFill="1" applyBorder="1" applyAlignment="1">
      <alignment vertical="center" wrapText="1"/>
    </xf>
    <xf numFmtId="0" fontId="26" fillId="46" borderId="0" xfId="4" applyFont="1" applyFill="1" applyBorder="1" applyAlignment="1">
      <alignment vertical="center"/>
    </xf>
    <xf numFmtId="4" fontId="3" fillId="46" borderId="7" xfId="1" applyNumberFormat="1" applyFont="1" applyFill="1" applyBorder="1" applyAlignment="1">
      <alignment horizontal="left" vertical="center"/>
    </xf>
    <xf numFmtId="1" fontId="3" fillId="46" borderId="7" xfId="1" applyNumberFormat="1" applyFont="1" applyFill="1" applyBorder="1" applyAlignment="1">
      <alignment horizontal="right" vertical="center"/>
    </xf>
    <xf numFmtId="4" fontId="2" fillId="46" borderId="7" xfId="1" applyNumberFormat="1" applyFont="1" applyFill="1" applyBorder="1" applyAlignment="1">
      <alignment horizontal="right" vertical="center"/>
    </xf>
    <xf numFmtId="4" fontId="2" fillId="46" borderId="1" xfId="1" applyNumberFormat="1" applyFont="1" applyFill="1" applyBorder="1" applyAlignment="1">
      <alignment horizontal="justify" vertical="center" wrapText="1"/>
    </xf>
    <xf numFmtId="3" fontId="2" fillId="46" borderId="1" xfId="1" applyNumberFormat="1" applyFont="1" applyFill="1" applyBorder="1" applyAlignment="1">
      <alignment horizontal="left" vertical="center"/>
    </xf>
    <xf numFmtId="3" fontId="2" fillId="46" borderId="1" xfId="1" applyNumberFormat="1" applyFont="1" applyFill="1" applyBorder="1" applyAlignment="1">
      <alignment horizontal="right" vertical="center"/>
    </xf>
    <xf numFmtId="2" fontId="3" fillId="46" borderId="1" xfId="4" applyNumberFormat="1" applyFont="1" applyFill="1" applyBorder="1" applyAlignment="1">
      <alignment horizontal="right" vertical="center"/>
    </xf>
    <xf numFmtId="1" fontId="33" fillId="46" borderId="1" xfId="1" applyNumberFormat="1" applyFont="1" applyFill="1" applyBorder="1" applyAlignment="1">
      <alignment horizontal="left" vertical="center" wrapText="1"/>
    </xf>
    <xf numFmtId="4" fontId="24" fillId="46" borderId="7" xfId="1" applyNumberFormat="1" applyFont="1" applyFill="1" applyBorder="1" applyAlignment="1">
      <alignment horizontal="right" vertical="center"/>
    </xf>
    <xf numFmtId="0" fontId="2" fillId="46" borderId="4" xfId="4" applyFont="1" applyFill="1" applyBorder="1" applyAlignment="1">
      <alignment horizontal="justify" vertical="center"/>
    </xf>
    <xf numFmtId="0" fontId="2" fillId="46" borderId="4" xfId="4" applyFont="1" applyFill="1" applyBorder="1" applyAlignment="1">
      <alignment horizontal="left" vertical="center"/>
    </xf>
    <xf numFmtId="2" fontId="2" fillId="46" borderId="1" xfId="4" applyNumberFormat="1" applyFont="1" applyFill="1" applyBorder="1" applyAlignment="1">
      <alignment horizontal="right" vertical="center" wrapText="1"/>
    </xf>
    <xf numFmtId="0" fontId="3" fillId="46" borderId="1" xfId="4" applyFont="1" applyFill="1" applyBorder="1" applyAlignment="1">
      <alignment horizontal="justify" vertical="center" wrapText="1"/>
    </xf>
    <xf numFmtId="0" fontId="2" fillId="46" borderId="1" xfId="4" applyFont="1" applyFill="1" applyBorder="1" applyAlignment="1">
      <alignment vertical="center" wrapText="1"/>
    </xf>
    <xf numFmtId="0" fontId="2" fillId="46" borderId="0" xfId="4" applyFont="1" applyFill="1" applyBorder="1" applyAlignment="1">
      <alignment horizontal="justify" vertical="center" wrapText="1"/>
    </xf>
    <xf numFmtId="0" fontId="25" fillId="46" borderId="1" xfId="4" applyFont="1" applyFill="1" applyBorder="1" applyAlignment="1">
      <alignment horizontal="justify" vertical="center"/>
    </xf>
    <xf numFmtId="1" fontId="2" fillId="46" borderId="1" xfId="4" applyNumberFormat="1" applyFont="1" applyFill="1" applyBorder="1" applyAlignment="1">
      <alignment horizontal="left" vertical="center" wrapText="1"/>
    </xf>
    <xf numFmtId="1" fontId="2" fillId="46" borderId="1" xfId="4" applyNumberFormat="1" applyFont="1" applyFill="1" applyBorder="1" applyAlignment="1">
      <alignment horizontal="left" vertical="center"/>
    </xf>
    <xf numFmtId="0" fontId="3" fillId="46" borderId="6" xfId="4" applyFont="1" applyFill="1" applyBorder="1" applyAlignment="1">
      <alignment vertical="center" wrapText="1"/>
    </xf>
    <xf numFmtId="0" fontId="2" fillId="46" borderId="4" xfId="4" applyFont="1" applyFill="1" applyBorder="1" applyAlignment="1">
      <alignment vertical="center" wrapText="1"/>
    </xf>
    <xf numFmtId="0" fontId="2" fillId="46" borderId="4" xfId="4" applyFont="1" applyFill="1" applyBorder="1" applyAlignment="1">
      <alignment horizontal="justify" vertical="center" wrapText="1"/>
    </xf>
    <xf numFmtId="4" fontId="2" fillId="46" borderId="4" xfId="1" applyNumberFormat="1" applyFont="1" applyFill="1" applyBorder="1" applyAlignment="1">
      <alignment horizontal="justify" vertical="center"/>
    </xf>
    <xf numFmtId="1" fontId="2" fillId="46" borderId="4" xfId="4" applyNumberFormat="1" applyFont="1" applyFill="1" applyBorder="1" applyAlignment="1">
      <alignment horizontal="right" vertical="center"/>
    </xf>
    <xf numFmtId="4" fontId="2" fillId="46" borderId="4" xfId="4" applyNumberFormat="1" applyFont="1" applyFill="1" applyBorder="1" applyAlignment="1">
      <alignment horizontal="right" vertical="center"/>
    </xf>
    <xf numFmtId="1" fontId="2" fillId="46" borderId="4" xfId="4" applyNumberFormat="1" applyFont="1" applyFill="1" applyBorder="1" applyAlignment="1">
      <alignment horizontal="left" vertical="center" wrapText="1"/>
    </xf>
    <xf numFmtId="1" fontId="2" fillId="46" borderId="4" xfId="1" applyNumberFormat="1" applyFont="1" applyFill="1" applyBorder="1" applyAlignment="1">
      <alignment horizontal="right" vertical="center"/>
    </xf>
    <xf numFmtId="4" fontId="2" fillId="46" borderId="6" xfId="1" applyNumberFormat="1" applyFont="1" applyFill="1" applyBorder="1" applyAlignment="1">
      <alignment horizontal="right" vertical="center"/>
    </xf>
    <xf numFmtId="1" fontId="2" fillId="46" borderId="1" xfId="1" applyNumberFormat="1" applyFont="1" applyFill="1" applyBorder="1" applyAlignment="1">
      <alignment horizontal="left" vertical="center" wrapText="1"/>
    </xf>
    <xf numFmtId="1" fontId="3" fillId="2" borderId="4" xfId="4" applyNumberFormat="1" applyFont="1" applyFill="1" applyBorder="1" applyAlignment="1">
      <alignment horizontal="right" vertical="center"/>
    </xf>
    <xf numFmtId="1" fontId="26" fillId="2" borderId="4" xfId="1" applyNumberFormat="1" applyFont="1" applyFill="1" applyBorder="1" applyAlignment="1">
      <alignment horizontal="left" vertical="center" wrapText="1"/>
    </xf>
    <xf numFmtId="3" fontId="3" fillId="0" borderId="1" xfId="4" applyNumberFormat="1" applyFont="1" applyFill="1" applyBorder="1" applyAlignment="1">
      <alignment horizontal="right" vertical="center"/>
    </xf>
    <xf numFmtId="4" fontId="3" fillId="0" borderId="1" xfId="4" applyNumberFormat="1" applyFont="1" applyFill="1" applyBorder="1" applyAlignment="1">
      <alignment horizontal="right" vertical="center"/>
    </xf>
    <xf numFmtId="1" fontId="3" fillId="0" borderId="1" xfId="4" applyNumberFormat="1" applyFont="1" applyFill="1" applyBorder="1" applyAlignment="1">
      <alignment horizontal="left" vertical="center"/>
    </xf>
    <xf numFmtId="1" fontId="3" fillId="0" borderId="7" xfId="4" applyNumberFormat="1" applyFont="1" applyFill="1" applyBorder="1" applyAlignment="1">
      <alignment horizontal="right" vertical="center" wrapText="1"/>
    </xf>
    <xf numFmtId="4" fontId="3" fillId="0" borderId="7" xfId="4" applyNumberFormat="1" applyFont="1" applyFill="1" applyBorder="1" applyAlignment="1">
      <alignment horizontal="right" vertical="center" wrapText="1"/>
    </xf>
    <xf numFmtId="4" fontId="3" fillId="0" borderId="4" xfId="1" applyNumberFormat="1" applyFont="1" applyFill="1" applyBorder="1" applyAlignment="1">
      <alignment horizontal="justify" vertical="center" wrapText="1"/>
    </xf>
    <xf numFmtId="4" fontId="3" fillId="0" borderId="4" xfId="1" applyNumberFormat="1" applyFont="1" applyFill="1" applyBorder="1" applyAlignment="1">
      <alignment horizontal="left" vertical="center"/>
    </xf>
    <xf numFmtId="4" fontId="3" fillId="0" borderId="4" xfId="1" applyNumberFormat="1" applyFont="1" applyFill="1" applyBorder="1" applyAlignment="1">
      <alignment horizontal="left" vertical="center" wrapText="1"/>
    </xf>
    <xf numFmtId="3" fontId="3" fillId="0" borderId="4" xfId="1" applyNumberFormat="1" applyFont="1" applyFill="1" applyBorder="1" applyAlignment="1">
      <alignment horizontal="left" vertical="center" wrapText="1"/>
    </xf>
    <xf numFmtId="3" fontId="3" fillId="0" borderId="4" xfId="1" applyNumberFormat="1" applyFont="1" applyFill="1" applyBorder="1" applyAlignment="1">
      <alignment horizontal="center" vertical="center" wrapText="1"/>
    </xf>
    <xf numFmtId="3" fontId="26" fillId="0" borderId="4" xfId="1" applyNumberFormat="1" applyFont="1" applyFill="1" applyBorder="1" applyAlignment="1">
      <alignment horizontal="left" vertical="center"/>
    </xf>
    <xf numFmtId="4" fontId="3" fillId="0" borderId="1" xfId="4" applyNumberFormat="1" applyFont="1" applyFill="1" applyBorder="1" applyAlignment="1">
      <alignment horizontal="right" vertical="center" wrapText="1"/>
    </xf>
    <xf numFmtId="2" fontId="3" fillId="0" borderId="1" xfId="4" applyNumberFormat="1" applyFont="1" applyFill="1" applyBorder="1" applyAlignment="1">
      <alignment horizontal="right" vertical="center" wrapText="1"/>
    </xf>
    <xf numFmtId="177" fontId="3" fillId="0" borderId="1" xfId="4" applyNumberFormat="1" applyFont="1" applyFill="1" applyBorder="1" applyAlignment="1">
      <alignment horizontal="right" vertical="center"/>
    </xf>
    <xf numFmtId="3" fontId="3" fillId="0" borderId="6" xfId="1" applyNumberFormat="1" applyFont="1" applyFill="1" applyBorder="1" applyAlignment="1">
      <alignment horizontal="center" vertical="center" wrapText="1"/>
    </xf>
    <xf numFmtId="3" fontId="3" fillId="0" borderId="7" xfId="1" applyNumberFormat="1" applyFont="1" applyFill="1" applyBorder="1" applyAlignment="1">
      <alignment horizontal="center" vertical="center" wrapText="1"/>
    </xf>
    <xf numFmtId="4" fontId="24" fillId="0" borderId="1" xfId="4" applyNumberFormat="1" applyFont="1" applyFill="1" applyBorder="1" applyAlignment="1">
      <alignment horizontal="right" vertical="center" wrapText="1"/>
    </xf>
    <xf numFmtId="177" fontId="24" fillId="0" borderId="1" xfId="4" applyNumberFormat="1" applyFont="1" applyFill="1" applyBorder="1" applyAlignment="1">
      <alignment horizontal="right" vertical="center" wrapText="1"/>
    </xf>
    <xf numFmtId="4" fontId="3" fillId="0" borderId="4" xfId="4" applyNumberFormat="1" applyFont="1" applyFill="1" applyBorder="1" applyAlignment="1">
      <alignment horizontal="right" vertical="center" wrapText="1"/>
    </xf>
    <xf numFmtId="3" fontId="3" fillId="0" borderId="4" xfId="1" applyNumberFormat="1" applyFont="1" applyFill="1" applyBorder="1" applyAlignment="1">
      <alignment horizontal="righ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4" fontId="24" fillId="0" borderId="7" xfId="4" applyNumberFormat="1" applyFont="1" applyFill="1" applyBorder="1" applyAlignment="1">
      <alignment horizontal="center" vertical="center"/>
    </xf>
    <xf numFmtId="4" fontId="24" fillId="0" borderId="4" xfId="4" applyNumberFormat="1" applyFont="1" applyFill="1" applyBorder="1" applyAlignment="1">
      <alignment vertical="center"/>
    </xf>
    <xf numFmtId="4" fontId="24" fillId="0" borderId="7" xfId="1" applyNumberFormat="1" applyFont="1" applyFill="1" applyBorder="1" applyAlignment="1">
      <alignment horizontal="center" vertical="center" wrapText="1"/>
    </xf>
    <xf numFmtId="3" fontId="24" fillId="0" borderId="7" xfId="1" applyNumberFormat="1" applyFont="1" applyFill="1" applyBorder="1" applyAlignment="1">
      <alignment horizontal="center" vertical="center" wrapText="1"/>
    </xf>
    <xf numFmtId="2" fontId="24" fillId="0" borderId="1" xfId="4" applyNumberFormat="1" applyFont="1" applyFill="1" applyBorder="1" applyAlignment="1">
      <alignment horizontal="right" vertical="center"/>
    </xf>
    <xf numFmtId="2" fontId="3" fillId="0" borderId="1" xfId="1" applyNumberFormat="1" applyFont="1" applyFill="1" applyBorder="1" applyAlignment="1">
      <alignment horizontal="right" vertical="center"/>
    </xf>
    <xf numFmtId="1" fontId="3" fillId="0" borderId="1" xfId="4" applyNumberFormat="1" applyFont="1" applyFill="1" applyBorder="1" applyAlignment="1">
      <alignment horizontal="center" vertical="center"/>
    </xf>
    <xf numFmtId="1" fontId="3" fillId="0" borderId="8" xfId="4" applyNumberFormat="1" applyFont="1" applyFill="1" applyBorder="1" applyAlignment="1">
      <alignment horizontal="right" vertical="center"/>
    </xf>
    <xf numFmtId="170" fontId="3" fillId="0" borderId="5" xfId="1" applyNumberFormat="1" applyFont="1" applyFill="1" applyBorder="1" applyAlignment="1">
      <alignment horizontal="right" vertical="center" wrapText="1"/>
    </xf>
    <xf numFmtId="1" fontId="3" fillId="0" borderId="5" xfId="4" applyNumberFormat="1" applyFont="1" applyFill="1" applyBorder="1" applyAlignment="1">
      <alignment horizontal="right" vertical="center"/>
    </xf>
    <xf numFmtId="0" fontId="64" fillId="0" borderId="1" xfId="0" applyFont="1" applyFill="1" applyBorder="1" applyAlignment="1">
      <alignment horizontal="left" vertical="top" wrapText="1"/>
    </xf>
    <xf numFmtId="0" fontId="64" fillId="0" borderId="1" xfId="0" applyFont="1" applyFill="1" applyBorder="1" applyAlignment="1">
      <alignment vertical="center" wrapText="1"/>
    </xf>
    <xf numFmtId="170" fontId="24" fillId="0" borderId="5" xfId="1" applyNumberFormat="1" applyFont="1" applyFill="1" applyBorder="1" applyAlignment="1">
      <alignment horizontal="right" vertical="center" wrapText="1"/>
    </xf>
    <xf numFmtId="170" fontId="24" fillId="0" borderId="1" xfId="1" applyNumberFormat="1" applyFont="1" applyFill="1" applyBorder="1" applyAlignment="1">
      <alignment horizontal="right" vertical="center"/>
    </xf>
    <xf numFmtId="170" fontId="24" fillId="0" borderId="1" xfId="1" applyNumberFormat="1" applyFont="1" applyFill="1" applyBorder="1" applyAlignment="1">
      <alignment horizontal="left" vertical="center" wrapText="1"/>
    </xf>
    <xf numFmtId="0" fontId="64" fillId="0" borderId="1" xfId="0" applyFont="1" applyFill="1" applyBorder="1" applyAlignment="1">
      <alignment wrapText="1"/>
    </xf>
    <xf numFmtId="1" fontId="24" fillId="0" borderId="5" xfId="4" applyNumberFormat="1" applyFont="1" applyFill="1" applyBorder="1" applyAlignment="1">
      <alignment horizontal="right" vertical="center"/>
    </xf>
    <xf numFmtId="0" fontId="64" fillId="0" borderId="1" xfId="0" applyFont="1" applyFill="1" applyBorder="1" applyAlignment="1">
      <alignment vertical="top" wrapText="1"/>
    </xf>
    <xf numFmtId="4" fontId="24" fillId="0" borderId="7" xfId="1" applyNumberFormat="1" applyFont="1" applyFill="1" applyBorder="1" applyAlignment="1">
      <alignment horizontal="right" vertical="center"/>
    </xf>
    <xf numFmtId="3" fontId="3" fillId="0" borderId="1" xfId="1" applyNumberFormat="1" applyFont="1" applyFill="1" applyBorder="1" applyAlignment="1">
      <alignment horizontal="center" vertical="center" wrapText="1"/>
    </xf>
    <xf numFmtId="1" fontId="26" fillId="0" borderId="1" xfId="4" applyNumberFormat="1" applyFont="1" applyFill="1" applyBorder="1" applyAlignment="1">
      <alignment horizontal="left" vertical="center" wrapText="1"/>
    </xf>
    <xf numFmtId="4" fontId="26" fillId="0" borderId="1" xfId="4" applyNumberFormat="1" applyFont="1" applyFill="1" applyBorder="1" applyAlignment="1">
      <alignment horizontal="right" vertical="center"/>
    </xf>
    <xf numFmtId="1" fontId="26" fillId="0" borderId="1" xfId="4" applyNumberFormat="1" applyFont="1" applyFill="1" applyBorder="1" applyAlignment="1">
      <alignment horizontal="left" vertical="center"/>
    </xf>
    <xf numFmtId="4" fontId="24" fillId="0" borderId="1" xfId="4" applyNumberFormat="1" applyFont="1" applyFill="1" applyBorder="1" applyAlignment="1">
      <alignment vertical="center" wrapText="1"/>
    </xf>
    <xf numFmtId="4" fontId="3" fillId="0" borderId="1" xfId="4" applyNumberFormat="1" applyFont="1" applyFill="1" applyBorder="1" applyAlignment="1">
      <alignment vertical="center" wrapText="1"/>
    </xf>
    <xf numFmtId="176" fontId="3" fillId="0" borderId="1" xfId="4" applyNumberFormat="1" applyFont="1" applyFill="1" applyBorder="1" applyAlignment="1">
      <alignment vertical="center" wrapText="1"/>
    </xf>
    <xf numFmtId="4" fontId="3" fillId="0" borderId="7" xfId="1" applyNumberFormat="1" applyFont="1" applyFill="1" applyBorder="1" applyAlignment="1">
      <alignment horizontal="right" vertical="center" wrapText="1"/>
    </xf>
    <xf numFmtId="1" fontId="24" fillId="0" borderId="5" xfId="4" applyNumberFormat="1" applyFont="1" applyFill="1" applyBorder="1" applyAlignment="1">
      <alignment horizontal="left" vertical="center" wrapText="1"/>
    </xf>
    <xf numFmtId="4" fontId="3" fillId="0" borderId="5" xfId="4" applyNumberFormat="1" applyFont="1" applyFill="1" applyBorder="1" applyAlignment="1">
      <alignment horizontal="right" vertical="center"/>
    </xf>
    <xf numFmtId="176" fontId="3" fillId="0" borderId="7" xfId="1" applyNumberFormat="1" applyFont="1" applyFill="1" applyBorder="1" applyAlignment="1">
      <alignment horizontal="center" vertical="center" wrapText="1"/>
    </xf>
    <xf numFmtId="3" fontId="24" fillId="0" borderId="1" xfId="1" applyNumberFormat="1" applyFont="1" applyFill="1" applyBorder="1" applyAlignment="1">
      <alignment horizontal="center" vertical="center" wrapText="1"/>
    </xf>
    <xf numFmtId="169" fontId="3" fillId="0" borderId="1" xfId="1" applyFont="1" applyFill="1" applyBorder="1" applyAlignment="1">
      <alignment horizontal="left" vertical="center" wrapText="1"/>
    </xf>
    <xf numFmtId="1" fontId="3" fillId="0" borderId="1" xfId="4" applyNumberFormat="1" applyFont="1" applyFill="1" applyBorder="1" applyAlignment="1">
      <alignment horizontal="justify" vertical="justify" wrapText="1"/>
    </xf>
    <xf numFmtId="1" fontId="3" fillId="0" borderId="1" xfId="4" applyNumberFormat="1" applyFont="1" applyFill="1" applyBorder="1" applyAlignment="1">
      <alignment horizontal="justify" vertical="center" wrapText="1"/>
    </xf>
    <xf numFmtId="1" fontId="3" fillId="0" borderId="1" xfId="1" applyNumberFormat="1" applyFont="1" applyFill="1" applyBorder="1" applyAlignment="1">
      <alignment vertical="top" wrapText="1"/>
    </xf>
    <xf numFmtId="0" fontId="3" fillId="0" borderId="0" xfId="4" applyFont="1" applyFill="1" applyAlignment="1">
      <alignment horizontal="left" vertical="top" wrapText="1"/>
    </xf>
    <xf numFmtId="0" fontId="3" fillId="0" borderId="1" xfId="4" applyFont="1" applyFill="1" applyBorder="1" applyAlignment="1">
      <alignment horizontal="left" vertical="top" wrapText="1"/>
    </xf>
    <xf numFmtId="1" fontId="3" fillId="0" borderId="7" xfId="1" applyNumberFormat="1" applyFont="1" applyFill="1" applyBorder="1" applyAlignment="1">
      <alignment vertical="top" wrapText="1"/>
    </xf>
    <xf numFmtId="0" fontId="28" fillId="0" borderId="1" xfId="4" applyFont="1" applyFill="1" applyBorder="1" applyAlignment="1">
      <alignment horizontal="left" vertical="top" wrapText="1"/>
    </xf>
    <xf numFmtId="1" fontId="3" fillId="0" borderId="6" xfId="1" applyNumberFormat="1" applyFont="1" applyFill="1" applyBorder="1" applyAlignment="1">
      <alignment vertical="top" wrapText="1"/>
    </xf>
    <xf numFmtId="2" fontId="3" fillId="0" borderId="1" xfId="1" applyNumberFormat="1" applyFont="1" applyFill="1" applyBorder="1" applyAlignment="1">
      <alignment vertical="center" wrapText="1"/>
    </xf>
    <xf numFmtId="3" fontId="3" fillId="0" borderId="6" xfId="1" applyNumberFormat="1" applyFont="1" applyFill="1" applyBorder="1" applyAlignment="1">
      <alignment vertical="center"/>
    </xf>
    <xf numFmtId="0" fontId="24" fillId="0" borderId="0" xfId="4" applyFont="1" applyFill="1" applyAlignment="1">
      <alignment horizontal="left" vertical="top" wrapText="1"/>
    </xf>
    <xf numFmtId="3" fontId="3" fillId="0" borderId="7" xfId="1" applyNumberFormat="1" applyFont="1" applyFill="1" applyBorder="1" applyAlignment="1">
      <alignment vertical="center"/>
    </xf>
    <xf numFmtId="4" fontId="2" fillId="0" borderId="1" xfId="1" applyNumberFormat="1" applyFont="1" applyFill="1" applyBorder="1" applyAlignment="1">
      <alignment horizontal="left" vertical="center"/>
    </xf>
    <xf numFmtId="164" fontId="2" fillId="30" borderId="1" xfId="2" applyFont="1" applyFill="1" applyBorder="1" applyAlignment="1">
      <alignment horizontal="center" vertical="center" wrapText="1"/>
    </xf>
    <xf numFmtId="0" fontId="2" fillId="30" borderId="1" xfId="1" applyNumberFormat="1" applyFont="1" applyFill="1" applyBorder="1" applyAlignment="1">
      <alignment horizontal="center" vertical="center" wrapText="1"/>
    </xf>
    <xf numFmtId="4" fontId="2" fillId="46" borderId="1" xfId="1" applyNumberFormat="1" applyFont="1" applyFill="1" applyBorder="1" applyAlignment="1">
      <alignment horizontal="center" vertical="center"/>
    </xf>
    <xf numFmtId="0" fontId="38" fillId="0" borderId="1" xfId="4" applyFont="1" applyFill="1" applyBorder="1" applyAlignment="1">
      <alignment horizontal="center" vertical="center" wrapText="1"/>
    </xf>
    <xf numFmtId="0" fontId="41" fillId="0" borderId="1" xfId="4" applyFont="1" applyFill="1" applyBorder="1" applyAlignment="1">
      <alignment horizontal="left" vertical="center" wrapText="1"/>
    </xf>
    <xf numFmtId="3" fontId="41" fillId="0" borderId="1" xfId="4" applyNumberFormat="1" applyFont="1" applyBorder="1" applyAlignment="1">
      <alignment horizontal="left" wrapText="1"/>
    </xf>
    <xf numFmtId="3" fontId="41" fillId="20" borderId="1" xfId="4" applyNumberFormat="1" applyFont="1" applyFill="1" applyBorder="1" applyAlignment="1">
      <alignment horizontal="left" wrapText="1"/>
    </xf>
    <xf numFmtId="0" fontId="49" fillId="4" borderId="1" xfId="4" applyFont="1" applyFill="1" applyBorder="1" applyAlignment="1">
      <alignment horizontal="center" vertical="center" wrapText="1"/>
    </xf>
    <xf numFmtId="0" fontId="49" fillId="0" borderId="1" xfId="4" applyFont="1" applyFill="1" applyBorder="1" applyAlignment="1">
      <alignment horizontal="center" vertical="center" wrapText="1"/>
    </xf>
    <xf numFmtId="0" fontId="52" fillId="0" borderId="1" xfId="4" applyFont="1" applyFill="1" applyBorder="1" applyAlignment="1">
      <alignment horizontal="center" vertical="center" wrapText="1"/>
    </xf>
    <xf numFmtId="2" fontId="15" fillId="6" borderId="0" xfId="0" applyNumberFormat="1" applyFont="1" applyFill="1"/>
    <xf numFmtId="4" fontId="24" fillId="2" borderId="1" xfId="4" applyNumberFormat="1" applyFont="1" applyFill="1" applyBorder="1" applyAlignment="1">
      <alignment horizontal="right" vertical="center"/>
    </xf>
    <xf numFmtId="4" fontId="3" fillId="46" borderId="4" xfId="1" applyNumberFormat="1" applyFont="1" applyFill="1" applyBorder="1" applyAlignment="1">
      <alignment horizontal="right" vertical="center" wrapText="1"/>
    </xf>
    <xf numFmtId="4" fontId="33" fillId="0" borderId="1" xfId="1" applyNumberFormat="1" applyFont="1" applyFill="1" applyBorder="1" applyAlignment="1">
      <alignment horizontal="right" vertical="center"/>
    </xf>
    <xf numFmtId="0" fontId="62" fillId="30" borderId="24" xfId="4" applyFont="1" applyFill="1" applyBorder="1" applyAlignment="1">
      <alignment horizontal="center" vertical="center" wrapText="1"/>
    </xf>
    <xf numFmtId="0" fontId="63" fillId="32" borderId="24" xfId="4" applyFont="1" applyFill="1" applyBorder="1" applyAlignment="1">
      <alignment horizontal="center" vertical="center" wrapText="1"/>
    </xf>
    <xf numFmtId="2" fontId="44" fillId="21" borderId="10" xfId="4" applyNumberFormat="1" applyFont="1" applyFill="1" applyBorder="1" applyAlignment="1">
      <alignment horizontal="center" vertical="center"/>
    </xf>
    <xf numFmtId="0" fontId="43" fillId="0" borderId="0" xfId="4" applyFont="1" applyFill="1" applyBorder="1" applyAlignment="1">
      <alignment horizontal="center" wrapText="1"/>
    </xf>
    <xf numFmtId="0" fontId="43" fillId="0" borderId="0" xfId="4" applyFont="1" applyFill="1" applyBorder="1"/>
    <xf numFmtId="2" fontId="44" fillId="0" borderId="0" xfId="4" applyNumberFormat="1" applyFont="1" applyFill="1" applyBorder="1" applyAlignment="1">
      <alignment horizontal="center" vertical="center"/>
    </xf>
    <xf numFmtId="4" fontId="22" fillId="0" borderId="4" xfId="1" applyNumberFormat="1" applyFont="1" applyFill="1" applyBorder="1" applyAlignment="1">
      <alignment vertical="center"/>
    </xf>
    <xf numFmtId="4" fontId="22" fillId="0" borderId="6" xfId="1" applyNumberFormat="1" applyFont="1" applyFill="1" applyBorder="1" applyAlignment="1">
      <alignment vertical="center"/>
    </xf>
    <xf numFmtId="4" fontId="22" fillId="0" borderId="7" xfId="1" applyNumberFormat="1" applyFont="1" applyFill="1" applyBorder="1" applyAlignment="1">
      <alignment vertical="center"/>
    </xf>
    <xf numFmtId="4" fontId="22" fillId="0" borderId="4" xfId="1" applyNumberFormat="1" applyFont="1" applyFill="1" applyBorder="1" applyAlignment="1">
      <alignment horizontal="right" vertical="center"/>
    </xf>
    <xf numFmtId="4" fontId="22" fillId="0" borderId="7" xfId="1" applyNumberFormat="1" applyFont="1" applyFill="1" applyBorder="1" applyAlignment="1">
      <alignment horizontal="right" vertical="center"/>
    </xf>
    <xf numFmtId="4" fontId="22" fillId="0" borderId="4" xfId="1" applyNumberFormat="1" applyFont="1" applyFill="1" applyBorder="1" applyAlignment="1">
      <alignment horizontal="center" vertical="center"/>
    </xf>
    <xf numFmtId="4" fontId="22" fillId="0" borderId="7" xfId="1" applyNumberFormat="1" applyFont="1" applyFill="1" applyBorder="1" applyAlignment="1">
      <alignment horizontal="center" vertical="center"/>
    </xf>
    <xf numFmtId="4" fontId="22" fillId="0" borderId="1" xfId="1" applyNumberFormat="1" applyFont="1" applyFill="1" applyBorder="1" applyAlignment="1">
      <alignment vertical="center"/>
    </xf>
    <xf numFmtId="4" fontId="22" fillId="42" borderId="4" xfId="1" applyNumberFormat="1" applyFont="1" applyFill="1" applyBorder="1" applyAlignment="1">
      <alignment vertical="center"/>
    </xf>
    <xf numFmtId="4" fontId="22" fillId="42" borderId="6" xfId="1" applyNumberFormat="1" applyFont="1" applyFill="1" applyBorder="1" applyAlignment="1">
      <alignment vertical="center"/>
    </xf>
    <xf numFmtId="4" fontId="22" fillId="42" borderId="7" xfId="1" applyNumberFormat="1" applyFont="1" applyFill="1" applyBorder="1" applyAlignment="1">
      <alignment vertical="center"/>
    </xf>
    <xf numFmtId="4" fontId="56" fillId="0" borderId="1" xfId="1" applyNumberFormat="1" applyFont="1" applyFill="1" applyBorder="1" applyAlignment="1">
      <alignment vertical="center"/>
    </xf>
    <xf numFmtId="4" fontId="23" fillId="0" borderId="1" xfId="1" applyNumberFormat="1" applyFont="1" applyFill="1" applyBorder="1" applyAlignment="1">
      <alignment vertical="center"/>
    </xf>
    <xf numFmtId="4" fontId="22" fillId="0" borderId="4" xfId="2" applyNumberFormat="1" applyFont="1" applyFill="1" applyBorder="1" applyAlignment="1">
      <alignment horizontal="right" vertical="center"/>
    </xf>
    <xf numFmtId="4" fontId="22" fillId="0" borderId="6" xfId="2" applyNumberFormat="1" applyFont="1" applyFill="1" applyBorder="1" applyAlignment="1">
      <alignment horizontal="right" vertical="center"/>
    </xf>
    <xf numFmtId="4" fontId="22" fillId="0" borderId="7" xfId="2" applyNumberFormat="1" applyFont="1" applyFill="1" applyBorder="1" applyAlignment="1">
      <alignment horizontal="right" vertical="center"/>
    </xf>
    <xf numFmtId="175" fontId="22" fillId="0" borderId="4" xfId="1" applyNumberFormat="1" applyFont="1" applyFill="1" applyBorder="1" applyAlignment="1">
      <alignment vertical="center"/>
    </xf>
    <xf numFmtId="175" fontId="22" fillId="0" borderId="6" xfId="1" applyNumberFormat="1" applyFont="1" applyFill="1" applyBorder="1" applyAlignment="1">
      <alignment vertical="center"/>
    </xf>
    <xf numFmtId="175" fontId="22" fillId="0" borderId="7" xfId="1" applyNumberFormat="1" applyFont="1" applyFill="1" applyBorder="1" applyAlignment="1">
      <alignment vertical="center"/>
    </xf>
    <xf numFmtId="175" fontId="22" fillId="0" borderId="4" xfId="2" applyNumberFormat="1" applyFont="1" applyFill="1" applyBorder="1" applyAlignment="1">
      <alignment vertical="center"/>
    </xf>
    <xf numFmtId="0" fontId="22" fillId="0" borderId="6" xfId="2" applyNumberFormat="1" applyFont="1" applyFill="1" applyBorder="1" applyAlignment="1">
      <alignment vertical="center"/>
    </xf>
    <xf numFmtId="0" fontId="22" fillId="0" borderId="7" xfId="2" applyNumberFormat="1" applyFont="1" applyFill="1" applyBorder="1" applyAlignment="1">
      <alignment vertical="center"/>
    </xf>
    <xf numFmtId="3" fontId="3" fillId="0" borderId="4" xfId="1" applyNumberFormat="1" applyFont="1" applyFill="1" applyBorder="1" applyAlignment="1">
      <alignment horizontal="center" vertical="center" wrapText="1"/>
    </xf>
    <xf numFmtId="3" fontId="3" fillId="0" borderId="6" xfId="1" applyNumberFormat="1" applyFont="1" applyFill="1" applyBorder="1" applyAlignment="1">
      <alignment horizontal="center" vertical="center" wrapText="1"/>
    </xf>
    <xf numFmtId="3" fontId="3" fillId="0" borderId="7" xfId="1" applyNumberFormat="1" applyFont="1" applyFill="1" applyBorder="1" applyAlignment="1">
      <alignment horizontal="center" vertical="center" wrapText="1"/>
    </xf>
    <xf numFmtId="164" fontId="22" fillId="0" borderId="4" xfId="2" applyFont="1" applyFill="1" applyBorder="1" applyAlignment="1">
      <alignment horizontal="right" vertical="center" wrapText="1"/>
    </xf>
    <xf numFmtId="164" fontId="22" fillId="0" borderId="6" xfId="2" applyFont="1" applyFill="1" applyBorder="1" applyAlignment="1">
      <alignment horizontal="right" vertical="center" wrapText="1"/>
    </xf>
    <xf numFmtId="164" fontId="22" fillId="0" borderId="7" xfId="2" applyFont="1" applyFill="1" applyBorder="1" applyAlignment="1">
      <alignment horizontal="right" vertical="center" wrapText="1"/>
    </xf>
    <xf numFmtId="164" fontId="56" fillId="0" borderId="4" xfId="2" applyFont="1" applyFill="1" applyBorder="1" applyAlignment="1">
      <alignment horizontal="right" vertical="center" wrapText="1"/>
    </xf>
    <xf numFmtId="164" fontId="56" fillId="0" borderId="6" xfId="2" applyFont="1" applyFill="1" applyBorder="1" applyAlignment="1">
      <alignment horizontal="right" vertical="center" wrapText="1"/>
    </xf>
    <xf numFmtId="164" fontId="56" fillId="0" borderId="7" xfId="2" applyFont="1" applyFill="1" applyBorder="1" applyAlignment="1">
      <alignment horizontal="right" vertical="center" wrapText="1"/>
    </xf>
    <xf numFmtId="164" fontId="22" fillId="0" borderId="4" xfId="2" applyFont="1" applyFill="1" applyBorder="1" applyAlignment="1">
      <alignment horizontal="right" vertical="center"/>
    </xf>
    <xf numFmtId="164" fontId="22" fillId="0" borderId="6" xfId="2" applyFont="1" applyFill="1" applyBorder="1" applyAlignment="1">
      <alignment horizontal="right" vertical="center"/>
    </xf>
    <xf numFmtId="164" fontId="22" fillId="0" borderId="7" xfId="2" applyFont="1" applyFill="1" applyBorder="1" applyAlignment="1">
      <alignment horizontal="right" vertical="center"/>
    </xf>
    <xf numFmtId="169" fontId="3" fillId="0" borderId="4" xfId="1" applyFont="1" applyFill="1" applyBorder="1" applyAlignment="1">
      <alignment horizontal="center" vertical="center"/>
    </xf>
    <xf numFmtId="169" fontId="3" fillId="0" borderId="7" xfId="1" applyFont="1" applyFill="1" applyBorder="1" applyAlignment="1">
      <alignment horizontal="center" vertical="center"/>
    </xf>
    <xf numFmtId="175" fontId="22" fillId="0" borderId="6" xfId="2" applyNumberFormat="1" applyFont="1" applyFill="1" applyBorder="1" applyAlignment="1">
      <alignment vertical="center"/>
    </xf>
    <xf numFmtId="175" fontId="22" fillId="0" borderId="7" xfId="2" applyNumberFormat="1" applyFont="1" applyFill="1" applyBorder="1" applyAlignment="1">
      <alignment vertical="center"/>
    </xf>
    <xf numFmtId="175" fontId="3" fillId="0" borderId="4" xfId="2" applyNumberFormat="1" applyFont="1" applyFill="1" applyBorder="1" applyAlignment="1">
      <alignment horizontal="center" vertical="center"/>
    </xf>
    <xf numFmtId="175" fontId="3" fillId="0" borderId="6" xfId="2" applyNumberFormat="1" applyFont="1" applyFill="1" applyBorder="1" applyAlignment="1">
      <alignment horizontal="center" vertical="center"/>
    </xf>
    <xf numFmtId="175" fontId="3" fillId="0" borderId="7" xfId="2" applyNumberFormat="1" applyFont="1" applyFill="1" applyBorder="1" applyAlignment="1">
      <alignment horizontal="center" vertical="center"/>
    </xf>
    <xf numFmtId="164" fontId="21" fillId="0" borderId="4" xfId="2" applyFont="1" applyFill="1" applyBorder="1" applyAlignment="1">
      <alignment horizontal="right" vertical="center" wrapText="1"/>
    </xf>
    <xf numFmtId="164" fontId="21" fillId="0" borderId="7" xfId="2" applyFont="1" applyFill="1" applyBorder="1" applyAlignment="1">
      <alignment horizontal="right" vertical="center" wrapText="1"/>
    </xf>
    <xf numFmtId="0" fontId="18" fillId="0" borderId="0" xfId="4" applyFont="1" applyFill="1" applyBorder="1" applyAlignment="1">
      <alignment horizontal="left" vertical="top" wrapText="1"/>
    </xf>
    <xf numFmtId="4" fontId="22" fillId="0" borderId="4" xfId="2" applyNumberFormat="1" applyFont="1" applyFill="1" applyBorder="1" applyAlignment="1">
      <alignment horizontal="center" vertical="center"/>
    </xf>
    <xf numFmtId="4" fontId="22" fillId="0" borderId="6" xfId="2" applyNumberFormat="1" applyFont="1" applyFill="1" applyBorder="1" applyAlignment="1">
      <alignment horizontal="center" vertical="center"/>
    </xf>
    <xf numFmtId="4" fontId="22" fillId="0" borderId="4" xfId="2" applyNumberFormat="1" applyFont="1" applyFill="1" applyBorder="1" applyAlignment="1">
      <alignment vertical="center"/>
    </xf>
    <xf numFmtId="4" fontId="22" fillId="0" borderId="6" xfId="2" applyNumberFormat="1" applyFont="1" applyFill="1" applyBorder="1" applyAlignment="1">
      <alignment vertical="center"/>
    </xf>
    <xf numFmtId="169" fontId="22" fillId="0" borderId="4" xfId="1" applyFont="1" applyFill="1" applyBorder="1" applyAlignment="1">
      <alignment vertical="center" wrapText="1"/>
    </xf>
    <xf numFmtId="169" fontId="22" fillId="0" borderId="6" xfId="1" applyFont="1" applyFill="1" applyBorder="1" applyAlignment="1">
      <alignment vertical="center" wrapText="1"/>
    </xf>
    <xf numFmtId="4" fontId="22" fillId="0" borderId="7" xfId="2" applyNumberFormat="1" applyFont="1" applyFill="1" applyBorder="1" applyAlignment="1">
      <alignment vertical="center"/>
    </xf>
    <xf numFmtId="169" fontId="22" fillId="0" borderId="7" xfId="1" applyFont="1" applyFill="1" applyBorder="1" applyAlignment="1">
      <alignment vertical="center" wrapText="1"/>
    </xf>
    <xf numFmtId="4" fontId="22" fillId="0" borderId="7" xfId="2" applyNumberFormat="1" applyFont="1" applyFill="1" applyBorder="1" applyAlignment="1">
      <alignment horizontal="center" vertical="center"/>
    </xf>
    <xf numFmtId="0" fontId="37" fillId="0" borderId="0" xfId="4" applyFont="1" applyFill="1" applyBorder="1" applyAlignment="1">
      <alignment horizontal="center" vertical="top" wrapText="1"/>
    </xf>
    <xf numFmtId="3" fontId="3" fillId="0" borderId="4" xfId="1" applyNumberFormat="1" applyFont="1" applyFill="1" applyBorder="1" applyAlignment="1">
      <alignment horizontal="right" vertical="center"/>
    </xf>
    <xf numFmtId="3" fontId="3" fillId="0" borderId="6" xfId="1" applyNumberFormat="1" applyFont="1" applyFill="1" applyBorder="1" applyAlignment="1">
      <alignment horizontal="right" vertical="center"/>
    </xf>
    <xf numFmtId="3" fontId="3" fillId="0" borderId="7" xfId="1" applyNumberFormat="1" applyFont="1" applyFill="1" applyBorder="1" applyAlignment="1">
      <alignment horizontal="right" vertical="center"/>
    </xf>
    <xf numFmtId="3" fontId="3" fillId="0" borderId="1" xfId="1" applyNumberFormat="1" applyFont="1" applyFill="1" applyBorder="1" applyAlignment="1">
      <alignment horizontal="center" vertical="center" wrapText="1"/>
    </xf>
    <xf numFmtId="0" fontId="3" fillId="2" borderId="4" xfId="4" applyFont="1" applyFill="1" applyBorder="1" applyAlignment="1">
      <alignment horizontal="left" vertical="center" wrapText="1"/>
    </xf>
    <xf numFmtId="0" fontId="3" fillId="2" borderId="6" xfId="4" applyFont="1" applyFill="1" applyBorder="1" applyAlignment="1">
      <alignment horizontal="left" vertical="center" wrapText="1"/>
    </xf>
    <xf numFmtId="0" fontId="3" fillId="2" borderId="7" xfId="4" applyFont="1" applyFill="1" applyBorder="1" applyAlignment="1">
      <alignment horizontal="left" vertical="center" wrapText="1"/>
    </xf>
    <xf numFmtId="0" fontId="3" fillId="0" borderId="4" xfId="4" applyFont="1" applyFill="1" applyBorder="1" applyAlignment="1">
      <alignment horizontal="justify" vertical="center" wrapText="1"/>
    </xf>
    <xf numFmtId="0" fontId="3" fillId="0" borderId="6" xfId="4" applyFont="1" applyFill="1" applyBorder="1" applyAlignment="1">
      <alignment horizontal="justify" vertical="center" wrapText="1"/>
    </xf>
    <xf numFmtId="0" fontId="3" fillId="0" borderId="7" xfId="4" applyFont="1" applyFill="1" applyBorder="1" applyAlignment="1">
      <alignment horizontal="justify" vertical="center" wrapText="1"/>
    </xf>
    <xf numFmtId="4" fontId="3" fillId="0" borderId="4" xfId="1" applyNumberFormat="1" applyFont="1" applyFill="1" applyBorder="1" applyAlignment="1">
      <alignment horizontal="center" vertical="center" wrapText="1"/>
    </xf>
    <xf numFmtId="4" fontId="3" fillId="0" borderId="6" xfId="1" applyNumberFormat="1" applyFont="1" applyFill="1" applyBorder="1" applyAlignment="1">
      <alignment horizontal="center" vertical="center" wrapText="1"/>
    </xf>
    <xf numFmtId="4" fontId="3" fillId="0" borderId="7" xfId="1" applyNumberFormat="1" applyFont="1" applyFill="1" applyBorder="1" applyAlignment="1">
      <alignment horizontal="center" vertical="center" wrapText="1"/>
    </xf>
    <xf numFmtId="1" fontId="3" fillId="0" borderId="4" xfId="1" applyNumberFormat="1" applyFont="1" applyFill="1" applyBorder="1" applyAlignment="1">
      <alignment horizontal="center" vertical="center" wrapText="1"/>
    </xf>
    <xf numFmtId="1" fontId="3" fillId="0" borderId="6" xfId="1" applyNumberFormat="1" applyFont="1" applyFill="1" applyBorder="1" applyAlignment="1">
      <alignment horizontal="center" vertical="center" wrapText="1"/>
    </xf>
    <xf numFmtId="1" fontId="3" fillId="0" borderId="7" xfId="1" applyNumberFormat="1" applyFont="1" applyFill="1" applyBorder="1" applyAlignment="1">
      <alignment horizontal="center" vertical="center" wrapText="1"/>
    </xf>
    <xf numFmtId="2" fontId="3" fillId="0" borderId="4" xfId="1" applyNumberFormat="1" applyFont="1" applyFill="1" applyBorder="1" applyAlignment="1">
      <alignment horizontal="center" vertical="center" wrapText="1"/>
    </xf>
    <xf numFmtId="2" fontId="3" fillId="0" borderId="6" xfId="1" applyNumberFormat="1" applyFont="1" applyFill="1" applyBorder="1" applyAlignment="1">
      <alignment horizontal="center" vertical="center" wrapText="1"/>
    </xf>
    <xf numFmtId="2" fontId="3" fillId="0" borderId="7" xfId="1"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xf>
    <xf numFmtId="2" fontId="3" fillId="0" borderId="1" xfId="1" applyNumberFormat="1" applyFont="1" applyFill="1" applyBorder="1" applyAlignment="1">
      <alignment horizontal="center" vertical="center" wrapText="1"/>
    </xf>
    <xf numFmtId="3" fontId="3" fillId="0" borderId="4" xfId="1" applyNumberFormat="1" applyFont="1" applyFill="1" applyBorder="1" applyAlignment="1">
      <alignment horizontal="center" vertical="center"/>
    </xf>
    <xf numFmtId="3" fontId="3" fillId="0" borderId="6" xfId="1"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1" fontId="3" fillId="0" borderId="4" xfId="4" applyNumberFormat="1" applyFont="1" applyFill="1" applyBorder="1" applyAlignment="1">
      <alignment horizontal="center" vertical="center"/>
    </xf>
    <xf numFmtId="1" fontId="3" fillId="0" borderId="6" xfId="4" applyNumberFormat="1" applyFont="1" applyFill="1" applyBorder="1" applyAlignment="1">
      <alignment horizontal="center" vertical="center"/>
    </xf>
    <xf numFmtId="1" fontId="3" fillId="0" borderId="7" xfId="4" applyNumberFormat="1" applyFont="1" applyFill="1" applyBorder="1" applyAlignment="1">
      <alignment horizontal="center" vertical="center"/>
    </xf>
    <xf numFmtId="4" fontId="26" fillId="0" borderId="8" xfId="1" applyNumberFormat="1" applyFont="1" applyFill="1" applyBorder="1" applyAlignment="1">
      <alignment horizontal="center" vertical="center"/>
    </xf>
    <xf numFmtId="4" fontId="26" fillId="0" borderId="16" xfId="1" applyNumberFormat="1" applyFont="1" applyFill="1" applyBorder="1" applyAlignment="1">
      <alignment horizontal="center" vertical="center"/>
    </xf>
    <xf numFmtId="4" fontId="26" fillId="0" borderId="5" xfId="1" applyNumberFormat="1" applyFont="1" applyFill="1" applyBorder="1" applyAlignment="1">
      <alignment horizontal="center" vertical="center"/>
    </xf>
    <xf numFmtId="177" fontId="3" fillId="0" borderId="4" xfId="1" applyNumberFormat="1" applyFont="1" applyFill="1" applyBorder="1" applyAlignment="1">
      <alignment horizontal="center" vertical="center" wrapText="1"/>
    </xf>
    <xf numFmtId="177" fontId="3" fillId="0" borderId="6" xfId="1" applyNumberFormat="1" applyFont="1" applyFill="1" applyBorder="1" applyAlignment="1">
      <alignment horizontal="center" vertical="center" wrapText="1"/>
    </xf>
    <xf numFmtId="177" fontId="3" fillId="0" borderId="7" xfId="1" applyNumberFormat="1" applyFont="1" applyFill="1" applyBorder="1" applyAlignment="1">
      <alignment horizontal="center" vertical="center" wrapText="1"/>
    </xf>
    <xf numFmtId="0" fontId="3" fillId="0" borderId="6" xfId="4" applyFont="1" applyFill="1" applyBorder="1" applyAlignment="1">
      <alignment horizontal="center" vertical="center" wrapText="1"/>
    </xf>
    <xf numFmtId="169" fontId="3" fillId="0" borderId="6" xfId="1" applyFont="1" applyFill="1" applyBorder="1" applyAlignment="1">
      <alignment horizontal="center" vertical="center"/>
    </xf>
    <xf numFmtId="4" fontId="21" fillId="0" borderId="4" xfId="2" applyNumberFormat="1" applyFont="1" applyFill="1" applyBorder="1" applyAlignment="1">
      <alignment vertical="center"/>
    </xf>
    <xf numFmtId="4" fontId="21" fillId="0" borderId="6" xfId="2" applyNumberFormat="1" applyFont="1" applyFill="1" applyBorder="1" applyAlignment="1">
      <alignment vertical="center"/>
    </xf>
    <xf numFmtId="4" fontId="21" fillId="0" borderId="7" xfId="2" applyNumberFormat="1" applyFont="1" applyFill="1" applyBorder="1" applyAlignment="1">
      <alignment vertical="center"/>
    </xf>
    <xf numFmtId="4" fontId="21" fillId="0" borderId="4" xfId="2" applyNumberFormat="1" applyFont="1" applyFill="1" applyBorder="1" applyAlignment="1">
      <alignment horizontal="right" vertical="center"/>
    </xf>
    <xf numFmtId="4" fontId="21" fillId="0" borderId="6" xfId="2" applyNumberFormat="1" applyFont="1" applyFill="1" applyBorder="1" applyAlignment="1">
      <alignment horizontal="right" vertical="center"/>
    </xf>
    <xf numFmtId="4" fontId="21" fillId="0" borderId="7" xfId="2" applyNumberFormat="1" applyFont="1" applyFill="1" applyBorder="1" applyAlignment="1">
      <alignment horizontal="right" vertical="center"/>
    </xf>
    <xf numFmtId="0" fontId="2" fillId="2" borderId="1" xfId="4" applyFont="1" applyFill="1" applyBorder="1" applyAlignment="1">
      <alignment horizontal="center" vertical="center" wrapText="1"/>
    </xf>
    <xf numFmtId="0" fontId="3" fillId="2" borderId="1" xfId="4" applyFont="1" applyFill="1" applyBorder="1" applyAlignment="1">
      <alignment horizontal="left" vertical="center"/>
    </xf>
    <xf numFmtId="1" fontId="24" fillId="0" borderId="19" xfId="4" applyNumberFormat="1" applyFont="1" applyFill="1" applyBorder="1" applyAlignment="1">
      <alignment horizontal="justify" vertical="center" wrapText="1"/>
    </xf>
    <xf numFmtId="1" fontId="24" fillId="0" borderId="21" xfId="4" applyNumberFormat="1" applyFont="1" applyFill="1" applyBorder="1" applyAlignment="1">
      <alignment horizontal="justify" vertical="center" wrapText="1"/>
    </xf>
    <xf numFmtId="4" fontId="3" fillId="0" borderId="4" xfId="1" applyNumberFormat="1" applyFont="1" applyFill="1" applyBorder="1" applyAlignment="1">
      <alignment horizontal="center" vertical="center"/>
    </xf>
    <xf numFmtId="4" fontId="3" fillId="0" borderId="7" xfId="1" applyNumberFormat="1" applyFont="1" applyFill="1" applyBorder="1" applyAlignment="1">
      <alignment horizontal="center" vertical="center"/>
    </xf>
    <xf numFmtId="4" fontId="56" fillId="0" borderId="4" xfId="1" applyNumberFormat="1" applyFont="1" applyFill="1" applyBorder="1" applyAlignment="1">
      <alignment vertical="center"/>
    </xf>
    <xf numFmtId="4" fontId="56" fillId="0" borderId="7" xfId="1" applyNumberFormat="1" applyFont="1" applyFill="1" applyBorder="1" applyAlignment="1">
      <alignment vertical="center"/>
    </xf>
    <xf numFmtId="1" fontId="24" fillId="0" borderId="4" xfId="4" applyNumberFormat="1" applyFont="1" applyFill="1" applyBorder="1" applyAlignment="1">
      <alignment horizontal="center" vertical="center" wrapText="1"/>
    </xf>
    <xf numFmtId="1" fontId="24" fillId="0" borderId="6" xfId="4" applyNumberFormat="1" applyFont="1" applyFill="1" applyBorder="1" applyAlignment="1">
      <alignment horizontal="center" vertical="center" wrapText="1"/>
    </xf>
    <xf numFmtId="1" fontId="24" fillId="0" borderId="7" xfId="4" applyNumberFormat="1" applyFont="1" applyFill="1" applyBorder="1" applyAlignment="1">
      <alignment horizontal="center" vertical="center" wrapText="1"/>
    </xf>
    <xf numFmtId="1" fontId="3" fillId="0" borderId="4" xfId="4" applyNumberFormat="1" applyFont="1" applyFill="1" applyBorder="1" applyAlignment="1">
      <alignment horizontal="justify" vertical="center" wrapText="1"/>
    </xf>
    <xf numFmtId="1" fontId="3" fillId="0" borderId="6" xfId="4" applyNumberFormat="1" applyFont="1" applyFill="1" applyBorder="1" applyAlignment="1">
      <alignment horizontal="justify" vertical="center" wrapText="1"/>
    </xf>
    <xf numFmtId="1" fontId="3" fillId="0" borderId="7" xfId="4" applyNumberFormat="1" applyFont="1" applyFill="1" applyBorder="1" applyAlignment="1">
      <alignment horizontal="justify" vertical="center" wrapText="1"/>
    </xf>
    <xf numFmtId="169" fontId="22" fillId="0" borderId="4" xfId="1" applyFont="1" applyFill="1" applyBorder="1" applyAlignment="1">
      <alignment vertical="center"/>
    </xf>
    <xf numFmtId="169" fontId="22" fillId="0" borderId="6" xfId="1" applyFont="1" applyFill="1" applyBorder="1" applyAlignment="1">
      <alignment vertical="center"/>
    </xf>
    <xf numFmtId="169" fontId="22" fillId="0" borderId="7" xfId="1" applyFont="1" applyFill="1" applyBorder="1" applyAlignment="1">
      <alignment vertical="center"/>
    </xf>
    <xf numFmtId="0" fontId="26" fillId="0" borderId="4" xfId="4" applyFont="1" applyFill="1" applyBorder="1" applyAlignment="1">
      <alignment horizontal="center" vertical="center" wrapText="1"/>
    </xf>
    <xf numFmtId="0" fontId="26" fillId="0" borderId="6" xfId="4" applyFont="1" applyFill="1" applyBorder="1" applyAlignment="1">
      <alignment horizontal="center" vertical="center" wrapText="1"/>
    </xf>
    <xf numFmtId="0" fontId="26" fillId="0" borderId="7" xfId="4" applyFont="1" applyFill="1" applyBorder="1" applyAlignment="1">
      <alignment horizontal="center" vertical="center" wrapText="1"/>
    </xf>
    <xf numFmtId="0" fontId="3" fillId="0" borderId="4" xfId="4" applyFont="1" applyFill="1" applyBorder="1" applyAlignment="1">
      <alignment horizontal="left" vertical="center"/>
    </xf>
    <xf numFmtId="0" fontId="3" fillId="0" borderId="6" xfId="4" applyFont="1" applyFill="1" applyBorder="1" applyAlignment="1">
      <alignment horizontal="left" vertical="center"/>
    </xf>
    <xf numFmtId="0" fontId="3" fillId="0" borderId="7" xfId="4" applyFont="1" applyFill="1" applyBorder="1" applyAlignment="1">
      <alignment horizontal="left" vertical="center"/>
    </xf>
    <xf numFmtId="175" fontId="6" fillId="0" borderId="4" xfId="2" applyNumberFormat="1" applyFont="1" applyFill="1" applyBorder="1" applyAlignment="1">
      <alignment horizontal="center" vertical="center"/>
    </xf>
    <xf numFmtId="175" fontId="6" fillId="0" borderId="6" xfId="2" applyNumberFormat="1" applyFont="1" applyFill="1" applyBorder="1" applyAlignment="1">
      <alignment horizontal="center" vertical="center"/>
    </xf>
    <xf numFmtId="175" fontId="6" fillId="0" borderId="7" xfId="2" applyNumberFormat="1" applyFont="1" applyFill="1" applyBorder="1" applyAlignment="1">
      <alignment horizontal="center" vertical="center"/>
    </xf>
    <xf numFmtId="164" fontId="21" fillId="0" borderId="4" xfId="2" applyFont="1" applyFill="1" applyBorder="1" applyAlignment="1">
      <alignment horizontal="right" vertical="center"/>
    </xf>
    <xf numFmtId="164" fontId="21" fillId="0" borderId="6" xfId="2" applyFont="1" applyFill="1" applyBorder="1" applyAlignment="1">
      <alignment horizontal="right" vertical="center"/>
    </xf>
    <xf numFmtId="164" fontId="21" fillId="0" borderId="7" xfId="2" applyFont="1" applyFill="1" applyBorder="1" applyAlignment="1">
      <alignment horizontal="right" vertical="center"/>
    </xf>
    <xf numFmtId="164" fontId="21" fillId="0" borderId="6" xfId="2" applyFont="1" applyFill="1" applyBorder="1" applyAlignment="1">
      <alignment horizontal="right" vertical="center" wrapText="1"/>
    </xf>
    <xf numFmtId="175" fontId="21" fillId="0" borderId="4" xfId="2" applyNumberFormat="1" applyFont="1" applyFill="1" applyBorder="1" applyAlignment="1">
      <alignment vertical="center"/>
    </xf>
    <xf numFmtId="0" fontId="21" fillId="0" borderId="6" xfId="2" applyNumberFormat="1" applyFont="1" applyFill="1" applyBorder="1" applyAlignment="1">
      <alignment vertical="center"/>
    </xf>
    <xf numFmtId="0" fontId="21" fillId="0" borderId="7" xfId="2" applyNumberFormat="1" applyFont="1" applyFill="1" applyBorder="1" applyAlignment="1">
      <alignment vertical="center"/>
    </xf>
    <xf numFmtId="175" fontId="21" fillId="0" borderId="4" xfId="4" applyNumberFormat="1" applyFont="1" applyFill="1" applyBorder="1" applyAlignment="1">
      <alignment vertical="center"/>
    </xf>
    <xf numFmtId="175" fontId="21" fillId="0" borderId="6" xfId="4" applyNumberFormat="1" applyFont="1" applyFill="1" applyBorder="1" applyAlignment="1">
      <alignment vertical="center"/>
    </xf>
    <xf numFmtId="175" fontId="21" fillId="0" borderId="7" xfId="4" applyNumberFormat="1" applyFont="1" applyFill="1" applyBorder="1" applyAlignment="1">
      <alignment vertical="center"/>
    </xf>
    <xf numFmtId="175" fontId="21" fillId="0" borderId="6" xfId="2" applyNumberFormat="1" applyFont="1" applyFill="1" applyBorder="1" applyAlignment="1">
      <alignment vertical="center"/>
    </xf>
    <xf numFmtId="175" fontId="21" fillId="0" borderId="7" xfId="2" applyNumberFormat="1" applyFont="1" applyFill="1" applyBorder="1" applyAlignment="1">
      <alignment vertical="center"/>
    </xf>
    <xf numFmtId="0" fontId="3" fillId="0" borderId="4"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0" borderId="4" xfId="4" applyFont="1" applyFill="1" applyBorder="1" applyAlignment="1">
      <alignment vertical="center" wrapText="1"/>
    </xf>
    <xf numFmtId="0" fontId="3" fillId="0" borderId="6" xfId="4" applyFont="1" applyFill="1" applyBorder="1" applyAlignment="1">
      <alignment vertical="center" wrapText="1"/>
    </xf>
    <xf numFmtId="0" fontId="3" fillId="0" borderId="7" xfId="4" applyFont="1" applyFill="1" applyBorder="1" applyAlignment="1">
      <alignment vertical="center" wrapText="1"/>
    </xf>
    <xf numFmtId="0" fontId="24" fillId="0" borderId="4" xfId="4" applyFont="1" applyFill="1" applyBorder="1" applyAlignment="1">
      <alignment horizontal="justify" vertical="center" wrapText="1"/>
    </xf>
    <xf numFmtId="0" fontId="24" fillId="0" borderId="6" xfId="4" applyFont="1" applyFill="1" applyBorder="1" applyAlignment="1">
      <alignment horizontal="justify" vertical="center" wrapText="1"/>
    </xf>
    <xf numFmtId="0" fontId="24" fillId="0" borderId="7" xfId="4" applyFont="1" applyFill="1" applyBorder="1" applyAlignment="1">
      <alignment horizontal="justify" vertical="center" wrapText="1"/>
    </xf>
    <xf numFmtId="169" fontId="3" fillId="0" borderId="4" xfId="1" applyFont="1" applyFill="1" applyBorder="1" applyAlignment="1">
      <alignment horizontal="right" vertical="center"/>
    </xf>
    <xf numFmtId="169" fontId="3" fillId="0" borderId="6" xfId="1" applyFont="1" applyFill="1" applyBorder="1" applyAlignment="1">
      <alignment horizontal="right" vertical="center"/>
    </xf>
    <xf numFmtId="169" fontId="3" fillId="0" borderId="7" xfId="1" applyFont="1" applyFill="1" applyBorder="1" applyAlignment="1">
      <alignment horizontal="right" vertical="center"/>
    </xf>
    <xf numFmtId="175" fontId="3" fillId="0" borderId="4" xfId="2" applyNumberFormat="1" applyFont="1" applyFill="1" applyBorder="1" applyAlignment="1">
      <alignment horizontal="right" vertical="center"/>
    </xf>
    <xf numFmtId="175" fontId="3" fillId="0" borderId="6" xfId="2" applyNumberFormat="1" applyFont="1" applyFill="1" applyBorder="1" applyAlignment="1">
      <alignment horizontal="right" vertical="center"/>
    </xf>
    <xf numFmtId="175" fontId="3" fillId="0" borderId="7" xfId="2" applyNumberFormat="1" applyFont="1" applyFill="1" applyBorder="1" applyAlignment="1">
      <alignment horizontal="right" vertical="center"/>
    </xf>
    <xf numFmtId="0" fontId="3" fillId="0" borderId="4" xfId="4" applyFont="1" applyFill="1" applyBorder="1" applyAlignment="1">
      <alignment horizontal="left" vertical="center" wrapText="1"/>
    </xf>
    <xf numFmtId="0" fontId="3" fillId="0" borderId="7" xfId="4" applyFont="1" applyBorder="1" applyAlignment="1">
      <alignment horizontal="left" vertical="center" wrapText="1"/>
    </xf>
    <xf numFmtId="4" fontId="23" fillId="0" borderId="4" xfId="1" applyNumberFormat="1" applyFont="1" applyFill="1" applyBorder="1" applyAlignment="1">
      <alignment vertical="center"/>
    </xf>
    <xf numFmtId="4" fontId="23" fillId="0" borderId="6" xfId="1" applyNumberFormat="1" applyFont="1" applyFill="1" applyBorder="1" applyAlignment="1">
      <alignment vertical="center"/>
    </xf>
    <xf numFmtId="4" fontId="23" fillId="0" borderId="7" xfId="1" applyNumberFormat="1" applyFont="1" applyFill="1" applyBorder="1" applyAlignment="1">
      <alignment vertical="center"/>
    </xf>
    <xf numFmtId="169" fontId="22" fillId="0" borderId="1" xfId="1" applyFont="1" applyFill="1" applyBorder="1" applyAlignment="1">
      <alignment vertical="center"/>
    </xf>
    <xf numFmtId="4" fontId="23" fillId="0" borderId="4" xfId="1" applyNumberFormat="1" applyFont="1" applyFill="1" applyBorder="1" applyAlignment="1">
      <alignment vertical="center" wrapText="1"/>
    </xf>
    <xf numFmtId="4" fontId="23" fillId="0" borderId="6" xfId="1" applyNumberFormat="1" applyFont="1" applyFill="1" applyBorder="1" applyAlignment="1">
      <alignment vertical="center" wrapText="1"/>
    </xf>
    <xf numFmtId="4" fontId="23" fillId="0" borderId="7" xfId="1" applyNumberFormat="1" applyFont="1" applyFill="1" applyBorder="1" applyAlignment="1">
      <alignment vertical="center" wrapText="1"/>
    </xf>
    <xf numFmtId="0" fontId="3" fillId="0" borderId="4" xfId="4" applyFont="1" applyFill="1" applyBorder="1" applyAlignment="1">
      <alignment horizontal="center" vertical="center"/>
    </xf>
    <xf numFmtId="0" fontId="3" fillId="0" borderId="6" xfId="4" applyFont="1" applyFill="1" applyBorder="1" applyAlignment="1">
      <alignment horizontal="center" vertical="center"/>
    </xf>
    <xf numFmtId="0" fontId="3" fillId="0" borderId="7" xfId="4" applyFont="1" applyFill="1" applyBorder="1" applyAlignment="1">
      <alignment horizontal="center" vertical="center"/>
    </xf>
    <xf numFmtId="175" fontId="22" fillId="27" borderId="4" xfId="1" applyNumberFormat="1" applyFont="1" applyFill="1" applyBorder="1" applyAlignment="1">
      <alignment vertical="center"/>
    </xf>
    <xf numFmtId="175" fontId="22" fillId="27" borderId="6" xfId="1" applyNumberFormat="1" applyFont="1" applyFill="1" applyBorder="1" applyAlignment="1">
      <alignment vertical="center"/>
    </xf>
    <xf numFmtId="175" fontId="22" fillId="27" borderId="7" xfId="1" applyNumberFormat="1" applyFont="1" applyFill="1" applyBorder="1" applyAlignment="1">
      <alignment vertical="center"/>
    </xf>
    <xf numFmtId="175" fontId="22" fillId="27" borderId="4" xfId="2" applyNumberFormat="1" applyFont="1" applyFill="1" applyBorder="1" applyAlignment="1">
      <alignment vertical="center"/>
    </xf>
    <xf numFmtId="175" fontId="22" fillId="27" borderId="6" xfId="2" applyNumberFormat="1" applyFont="1" applyFill="1" applyBorder="1" applyAlignment="1">
      <alignment vertical="center"/>
    </xf>
    <xf numFmtId="175" fontId="22" fillId="27" borderId="7" xfId="2" applyNumberFormat="1" applyFont="1" applyFill="1" applyBorder="1" applyAlignment="1">
      <alignment vertical="center"/>
    </xf>
    <xf numFmtId="175" fontId="22" fillId="31" borderId="4" xfId="1" applyNumberFormat="1" applyFont="1" applyFill="1" applyBorder="1" applyAlignment="1">
      <alignment vertical="center"/>
    </xf>
    <xf numFmtId="175" fontId="22" fillId="31" borderId="6" xfId="1" applyNumberFormat="1" applyFont="1" applyFill="1" applyBorder="1" applyAlignment="1">
      <alignment vertical="center"/>
    </xf>
    <xf numFmtId="175" fontId="22" fillId="31" borderId="7" xfId="1" applyNumberFormat="1" applyFont="1" applyFill="1" applyBorder="1" applyAlignment="1">
      <alignment vertical="center"/>
    </xf>
    <xf numFmtId="175" fontId="22" fillId="31" borderId="4" xfId="2" applyNumberFormat="1" applyFont="1" applyFill="1" applyBorder="1" applyAlignment="1">
      <alignment vertical="center"/>
    </xf>
    <xf numFmtId="0" fontId="22" fillId="31" borderId="6" xfId="2" applyNumberFormat="1" applyFont="1" applyFill="1" applyBorder="1" applyAlignment="1">
      <alignment vertical="center"/>
    </xf>
    <xf numFmtId="0" fontId="22" fillId="31" borderId="7" xfId="2" applyNumberFormat="1" applyFont="1" applyFill="1" applyBorder="1" applyAlignment="1">
      <alignment vertical="center"/>
    </xf>
    <xf numFmtId="4" fontId="23" fillId="0" borderId="4" xfId="2" applyNumberFormat="1" applyFont="1" applyFill="1" applyBorder="1" applyAlignment="1">
      <alignment horizontal="right" vertical="center"/>
    </xf>
    <xf numFmtId="4" fontId="23" fillId="0" borderId="6" xfId="2" applyNumberFormat="1" applyFont="1" applyFill="1" applyBorder="1" applyAlignment="1">
      <alignment horizontal="right" vertical="center"/>
    </xf>
    <xf numFmtId="4" fontId="23" fillId="0" borderId="7" xfId="2" applyNumberFormat="1" applyFont="1" applyFill="1" applyBorder="1" applyAlignment="1">
      <alignment horizontal="right" vertical="center"/>
    </xf>
    <xf numFmtId="0" fontId="3" fillId="0" borderId="6" xfId="4" applyFont="1" applyFill="1" applyBorder="1" applyAlignment="1">
      <alignment horizontal="left" vertical="center" wrapText="1"/>
    </xf>
    <xf numFmtId="0" fontId="3" fillId="2" borderId="4" xfId="4" applyFont="1" applyFill="1" applyBorder="1" applyAlignment="1">
      <alignment horizontal="center" vertical="center" wrapText="1"/>
    </xf>
    <xf numFmtId="0" fontId="3" fillId="2" borderId="7" xfId="4" applyFont="1" applyFill="1" applyBorder="1" applyAlignment="1">
      <alignment horizontal="center" vertical="center" wrapText="1"/>
    </xf>
    <xf numFmtId="0" fontId="3" fillId="2" borderId="4" xfId="4" applyFont="1" applyFill="1" applyBorder="1" applyAlignment="1">
      <alignment horizontal="center" vertical="center"/>
    </xf>
    <xf numFmtId="0" fontId="3" fillId="2" borderId="6" xfId="4" applyFont="1" applyFill="1" applyBorder="1" applyAlignment="1">
      <alignment horizontal="center" vertical="center"/>
    </xf>
    <xf numFmtId="0" fontId="3" fillId="2" borderId="7" xfId="4" applyFont="1" applyFill="1" applyBorder="1" applyAlignment="1">
      <alignment horizontal="center" vertical="center"/>
    </xf>
    <xf numFmtId="0" fontId="3" fillId="2" borderId="4" xfId="4" applyFont="1" applyFill="1" applyBorder="1" applyAlignment="1">
      <alignment horizontal="left" vertical="center"/>
    </xf>
    <xf numFmtId="0" fontId="3" fillId="2" borderId="6" xfId="4" applyFont="1" applyFill="1" applyBorder="1" applyAlignment="1">
      <alignment horizontal="left" vertical="center"/>
    </xf>
    <xf numFmtId="0" fontId="3" fillId="2" borderId="7" xfId="4" applyFont="1" applyFill="1" applyBorder="1" applyAlignment="1">
      <alignment horizontal="left" vertical="center"/>
    </xf>
    <xf numFmtId="0" fontId="26" fillId="0" borderId="7" xfId="4" applyFont="1" applyFill="1" applyBorder="1" applyAlignment="1">
      <alignment horizontal="justify" vertical="center" wrapText="1"/>
    </xf>
    <xf numFmtId="0" fontId="3" fillId="2" borderId="4" xfId="4" applyFont="1" applyFill="1" applyBorder="1" applyAlignment="1">
      <alignment horizontal="right" vertical="center"/>
    </xf>
    <xf numFmtId="0" fontId="3" fillId="2" borderId="7" xfId="4" applyFont="1" applyFill="1" applyBorder="1" applyAlignment="1">
      <alignment horizontal="right" vertical="center"/>
    </xf>
    <xf numFmtId="175" fontId="3" fillId="2" borderId="4" xfId="2" applyNumberFormat="1" applyFont="1" applyFill="1" applyBorder="1" applyAlignment="1">
      <alignment horizontal="center" vertical="center"/>
    </xf>
    <xf numFmtId="175" fontId="3" fillId="2" borderId="6" xfId="2" applyNumberFormat="1" applyFont="1" applyFill="1" applyBorder="1" applyAlignment="1">
      <alignment horizontal="center" vertical="center"/>
    </xf>
    <xf numFmtId="175" fontId="3" fillId="2" borderId="7" xfId="2" applyNumberFormat="1" applyFont="1" applyFill="1" applyBorder="1" applyAlignment="1">
      <alignment horizontal="center" vertical="center"/>
    </xf>
    <xf numFmtId="0" fontId="2" fillId="0" borderId="4" xfId="4" applyFont="1" applyFill="1" applyBorder="1" applyAlignment="1">
      <alignment horizontal="justify" vertical="center" wrapText="1"/>
    </xf>
    <xf numFmtId="0" fontId="2" fillId="0" borderId="6" xfId="4" applyFont="1" applyFill="1" applyBorder="1" applyAlignment="1">
      <alignment horizontal="justify" vertical="center" wrapText="1"/>
    </xf>
    <xf numFmtId="0" fontId="2" fillId="0" borderId="7" xfId="4" applyFont="1" applyFill="1" applyBorder="1" applyAlignment="1">
      <alignment horizontal="justify" vertical="center" wrapText="1"/>
    </xf>
    <xf numFmtId="169" fontId="2" fillId="0" borderId="4" xfId="1" applyFont="1" applyFill="1" applyBorder="1" applyAlignment="1">
      <alignment horizontal="center" vertical="center"/>
    </xf>
    <xf numFmtId="169" fontId="2" fillId="0" borderId="6" xfId="1" applyFont="1" applyFill="1" applyBorder="1" applyAlignment="1">
      <alignment horizontal="center" vertical="center"/>
    </xf>
    <xf numFmtId="169" fontId="2" fillId="0" borderId="7" xfId="1" applyFont="1" applyFill="1" applyBorder="1" applyAlignment="1">
      <alignment horizontal="center" vertical="center"/>
    </xf>
    <xf numFmtId="175" fontId="2" fillId="0" borderId="4" xfId="2" applyNumberFormat="1" applyFont="1" applyFill="1" applyBorder="1" applyAlignment="1">
      <alignment horizontal="center" vertical="center"/>
    </xf>
    <xf numFmtId="175" fontId="2" fillId="0" borderId="6" xfId="2" applyNumberFormat="1" applyFont="1" applyFill="1" applyBorder="1" applyAlignment="1">
      <alignment horizontal="center" vertical="center"/>
    </xf>
    <xf numFmtId="175" fontId="2" fillId="0" borderId="7" xfId="2" applyNumberFormat="1" applyFont="1" applyFill="1" applyBorder="1" applyAlignment="1">
      <alignment horizontal="center" vertical="center"/>
    </xf>
    <xf numFmtId="164" fontId="21" fillId="0" borderId="1" xfId="2" applyFont="1" applyFill="1" applyBorder="1" applyAlignment="1">
      <alignment horizontal="right" vertical="center" wrapText="1"/>
    </xf>
    <xf numFmtId="175" fontId="21" fillId="0" borderId="1" xfId="2" applyNumberFormat="1" applyFont="1" applyFill="1" applyBorder="1" applyAlignment="1">
      <alignment vertical="center"/>
    </xf>
    <xf numFmtId="4" fontId="22" fillId="0" borderId="6" xfId="1" applyNumberFormat="1" applyFont="1" applyFill="1" applyBorder="1" applyAlignment="1">
      <alignment horizontal="center" vertical="center"/>
    </xf>
    <xf numFmtId="1" fontId="3" fillId="0" borderId="4" xfId="1" applyNumberFormat="1" applyFont="1" applyFill="1" applyBorder="1" applyAlignment="1">
      <alignment horizontal="center" vertical="center"/>
    </xf>
    <xf numFmtId="1" fontId="3" fillId="0" borderId="7" xfId="1" applyNumberFormat="1" applyFont="1" applyFill="1" applyBorder="1" applyAlignment="1">
      <alignment horizontal="center" vertical="center"/>
    </xf>
    <xf numFmtId="0" fontId="2" fillId="0" borderId="4"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7" xfId="4" applyFont="1" applyFill="1" applyBorder="1" applyAlignment="1">
      <alignment horizontal="center" vertical="center" wrapText="1"/>
    </xf>
    <xf numFmtId="4" fontId="22" fillId="0" borderId="1" xfId="2" applyNumberFormat="1" applyFont="1" applyFill="1" applyBorder="1" applyAlignment="1">
      <alignment vertical="center"/>
    </xf>
    <xf numFmtId="164" fontId="21" fillId="0" borderId="17" xfId="2" applyFont="1" applyFill="1" applyBorder="1" applyAlignment="1">
      <alignment horizontal="right" vertical="center" wrapText="1"/>
    </xf>
    <xf numFmtId="164" fontId="21" fillId="0" borderId="18" xfId="2" applyFont="1" applyFill="1" applyBorder="1" applyAlignment="1">
      <alignment horizontal="right" vertical="center" wrapText="1"/>
    </xf>
    <xf numFmtId="175" fontId="22" fillId="0" borderId="1" xfId="2" applyNumberFormat="1" applyFont="1" applyFill="1" applyBorder="1" applyAlignment="1">
      <alignment vertical="center"/>
    </xf>
    <xf numFmtId="169" fontId="3" fillId="0" borderId="1" xfId="1" applyFont="1" applyFill="1" applyBorder="1" applyAlignment="1">
      <alignment horizontal="right" vertical="center"/>
    </xf>
    <xf numFmtId="175" fontId="3" fillId="0" borderId="1" xfId="2" applyNumberFormat="1" applyFont="1" applyFill="1" applyBorder="1" applyAlignment="1">
      <alignment horizontal="right" vertical="center"/>
    </xf>
    <xf numFmtId="164" fontId="22" fillId="0" borderId="1" xfId="2" applyFont="1" applyFill="1" applyBorder="1" applyAlignment="1">
      <alignment horizontal="right" vertical="center"/>
    </xf>
    <xf numFmtId="0" fontId="33" fillId="0" borderId="4" xfId="4" applyFont="1" applyFill="1" applyBorder="1" applyAlignment="1">
      <alignment horizontal="center" vertical="center" wrapText="1"/>
    </xf>
    <xf numFmtId="0" fontId="33" fillId="0" borderId="6" xfId="4" applyFont="1" applyFill="1" applyBorder="1" applyAlignment="1">
      <alignment horizontal="center" vertical="center" wrapText="1"/>
    </xf>
    <xf numFmtId="0" fontId="33" fillId="0" borderId="7" xfId="4" applyFont="1" applyFill="1" applyBorder="1" applyAlignment="1">
      <alignment horizontal="center" vertical="center" wrapText="1"/>
    </xf>
    <xf numFmtId="3" fontId="24" fillId="0" borderId="4" xfId="1" applyNumberFormat="1" applyFont="1" applyFill="1" applyBorder="1" applyAlignment="1">
      <alignment horizontal="right" vertical="center"/>
    </xf>
    <xf numFmtId="3" fontId="24" fillId="0" borderId="7" xfId="1" applyNumberFormat="1" applyFont="1" applyFill="1" applyBorder="1" applyAlignment="1">
      <alignment horizontal="right" vertical="center"/>
    </xf>
    <xf numFmtId="0" fontId="25" fillId="0" borderId="6" xfId="4" applyFont="1" applyFill="1" applyBorder="1" applyAlignment="1">
      <alignment horizontal="center" vertical="center" wrapText="1"/>
    </xf>
    <xf numFmtId="0" fontId="25" fillId="0" borderId="7" xfId="4" applyFont="1" applyFill="1" applyBorder="1" applyAlignment="1">
      <alignment horizontal="center" vertical="center" wrapText="1"/>
    </xf>
    <xf numFmtId="49" fontId="22" fillId="0" borderId="4" xfId="1" applyNumberFormat="1" applyFont="1" applyFill="1" applyBorder="1" applyAlignment="1">
      <alignment vertical="center" wrapText="1"/>
    </xf>
    <xf numFmtId="49" fontId="22" fillId="0" borderId="6" xfId="1" applyNumberFormat="1" applyFont="1" applyFill="1" applyBorder="1" applyAlignment="1">
      <alignment vertical="center" wrapText="1"/>
    </xf>
    <xf numFmtId="49" fontId="22" fillId="0" borderId="7" xfId="1" applyNumberFormat="1" applyFont="1" applyFill="1" applyBorder="1" applyAlignment="1">
      <alignment vertical="center" wrapText="1"/>
    </xf>
    <xf numFmtId="0" fontId="24" fillId="0" borderId="4" xfId="4" applyFont="1" applyFill="1" applyBorder="1" applyAlignment="1">
      <alignment vertical="center"/>
    </xf>
    <xf numFmtId="0" fontId="24" fillId="0" borderId="7" xfId="4" applyFont="1" applyFill="1" applyBorder="1" applyAlignment="1">
      <alignment vertical="center"/>
    </xf>
    <xf numFmtId="175" fontId="21" fillId="0" borderId="19" xfId="4" applyNumberFormat="1" applyFont="1" applyFill="1" applyBorder="1" applyAlignment="1">
      <alignment vertical="center"/>
    </xf>
    <xf numFmtId="175" fontId="21" fillId="0" borderId="21" xfId="4" applyNumberFormat="1" applyFont="1" applyFill="1" applyBorder="1" applyAlignment="1">
      <alignment vertical="center"/>
    </xf>
    <xf numFmtId="0" fontId="22" fillId="0" borderId="4" xfId="1" applyNumberFormat="1" applyFont="1" applyFill="1" applyBorder="1" applyAlignment="1">
      <alignment vertical="center" wrapText="1"/>
    </xf>
    <xf numFmtId="0" fontId="22" fillId="0" borderId="7" xfId="1" applyNumberFormat="1" applyFont="1" applyFill="1" applyBorder="1" applyAlignment="1">
      <alignment vertical="center" wrapText="1"/>
    </xf>
    <xf numFmtId="3" fontId="24" fillId="0" borderId="6" xfId="1" applyNumberFormat="1" applyFont="1" applyFill="1" applyBorder="1" applyAlignment="1">
      <alignment horizontal="right" vertical="center"/>
    </xf>
    <xf numFmtId="3" fontId="24" fillId="0" borderId="4" xfId="1" applyNumberFormat="1" applyFont="1" applyFill="1" applyBorder="1" applyAlignment="1">
      <alignment horizontal="center" vertical="center"/>
    </xf>
    <xf numFmtId="3" fontId="24" fillId="0" borderId="6" xfId="1" applyNumberFormat="1" applyFont="1" applyFill="1" applyBorder="1" applyAlignment="1">
      <alignment horizontal="center" vertical="center"/>
    </xf>
    <xf numFmtId="3" fontId="24" fillId="0" borderId="7" xfId="1" applyNumberFormat="1" applyFont="1" applyFill="1" applyBorder="1" applyAlignment="1">
      <alignment horizontal="center" vertical="center"/>
    </xf>
    <xf numFmtId="175" fontId="6" fillId="0" borderId="1" xfId="2" applyNumberFormat="1" applyFont="1" applyFill="1" applyBorder="1" applyAlignment="1">
      <alignment horizontal="center" vertical="center"/>
    </xf>
    <xf numFmtId="164" fontId="21" fillId="0" borderId="1" xfId="2" applyFont="1" applyFill="1" applyBorder="1" applyAlignment="1">
      <alignment horizontal="right" vertical="center"/>
    </xf>
    <xf numFmtId="0" fontId="3" fillId="0" borderId="4" xfId="4" applyFont="1" applyFill="1" applyBorder="1" applyAlignment="1">
      <alignment horizontal="right" vertical="center" wrapText="1"/>
    </xf>
    <xf numFmtId="0" fontId="3" fillId="0" borderId="6" xfId="4" applyFont="1" applyFill="1" applyBorder="1" applyAlignment="1">
      <alignment horizontal="right" vertical="center" wrapText="1"/>
    </xf>
    <xf numFmtId="4" fontId="21" fillId="0" borderId="4" xfId="2" applyNumberFormat="1" applyFont="1" applyFill="1" applyBorder="1" applyAlignment="1">
      <alignment horizontal="center" vertical="center"/>
    </xf>
    <xf numFmtId="4" fontId="21" fillId="0" borderId="7" xfId="2" applyNumberFormat="1" applyFont="1" applyFill="1" applyBorder="1" applyAlignment="1">
      <alignment horizontal="center" vertical="center"/>
    </xf>
    <xf numFmtId="0" fontId="24" fillId="0" borderId="4" xfId="4" applyFont="1" applyFill="1" applyBorder="1" applyAlignment="1">
      <alignment horizontal="center" vertical="center" wrapText="1"/>
    </xf>
    <xf numFmtId="0" fontId="24" fillId="0" borderId="7" xfId="4" applyFont="1" applyFill="1" applyBorder="1" applyAlignment="1">
      <alignment horizontal="center" vertical="center" wrapText="1"/>
    </xf>
    <xf numFmtId="0" fontId="24" fillId="0" borderId="4" xfId="4" applyFont="1" applyFill="1" applyBorder="1" applyAlignment="1">
      <alignment horizontal="left" vertical="center" wrapText="1"/>
    </xf>
    <xf numFmtId="0" fontId="24" fillId="0" borderId="7" xfId="4" applyFont="1" applyFill="1" applyBorder="1" applyAlignment="1">
      <alignment horizontal="left" vertical="center" wrapText="1"/>
    </xf>
    <xf numFmtId="0" fontId="24" fillId="0" borderId="4" xfId="4" applyFont="1" applyFill="1" applyBorder="1" applyAlignment="1">
      <alignment horizontal="right" vertical="center"/>
    </xf>
    <xf numFmtId="0" fontId="24" fillId="0" borderId="7" xfId="4" applyFont="1" applyFill="1" applyBorder="1" applyAlignment="1">
      <alignment horizontal="right" vertical="center"/>
    </xf>
    <xf numFmtId="0" fontId="24" fillId="0" borderId="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4" xfId="4" applyFont="1" applyFill="1" applyBorder="1" applyAlignment="1">
      <alignment horizontal="left" vertical="center"/>
    </xf>
    <xf numFmtId="0" fontId="24" fillId="0" borderId="7" xfId="4" applyFont="1" applyFill="1" applyBorder="1" applyAlignment="1">
      <alignment horizontal="left" vertical="center"/>
    </xf>
    <xf numFmtId="1" fontId="24" fillId="0" borderId="4" xfId="4" applyNumberFormat="1" applyFont="1" applyFill="1" applyBorder="1" applyAlignment="1">
      <alignment horizontal="right" vertical="center"/>
    </xf>
    <xf numFmtId="1" fontId="24" fillId="0" borderId="7" xfId="4" applyNumberFormat="1" applyFont="1" applyFill="1" applyBorder="1" applyAlignment="1">
      <alignment horizontal="right" vertical="center"/>
    </xf>
    <xf numFmtId="4" fontId="24" fillId="0" borderId="4" xfId="4" applyNumberFormat="1" applyFont="1" applyFill="1" applyBorder="1" applyAlignment="1">
      <alignment horizontal="center" vertical="center"/>
    </xf>
    <xf numFmtId="4" fontId="24" fillId="0" borderId="7" xfId="4" applyNumberFormat="1" applyFont="1" applyFill="1" applyBorder="1" applyAlignment="1">
      <alignment horizontal="center" vertical="center"/>
    </xf>
    <xf numFmtId="1" fontId="24" fillId="0" borderId="4" xfId="4" applyNumberFormat="1" applyFont="1" applyFill="1" applyBorder="1" applyAlignment="1">
      <alignment horizontal="left" vertical="center" wrapText="1"/>
    </xf>
    <xf numFmtId="1" fontId="24" fillId="0" borderId="7" xfId="4" applyNumberFormat="1" applyFont="1" applyFill="1" applyBorder="1" applyAlignment="1">
      <alignment horizontal="left" vertical="center" wrapText="1"/>
    </xf>
    <xf numFmtId="169" fontId="24" fillId="0" borderId="4" xfId="1" applyFont="1" applyFill="1" applyBorder="1" applyAlignment="1">
      <alignment horizontal="right" vertical="center"/>
    </xf>
    <xf numFmtId="169" fontId="24" fillId="0" borderId="7" xfId="1" applyFont="1" applyFill="1" applyBorder="1" applyAlignment="1">
      <alignment horizontal="right" vertical="center"/>
    </xf>
    <xf numFmtId="175" fontId="24" fillId="0" borderId="4" xfId="2" applyNumberFormat="1" applyFont="1" applyFill="1" applyBorder="1" applyAlignment="1">
      <alignment horizontal="center" vertical="center"/>
    </xf>
    <xf numFmtId="175" fontId="24" fillId="0" borderId="7" xfId="2" applyNumberFormat="1" applyFont="1" applyFill="1" applyBorder="1" applyAlignment="1">
      <alignment horizontal="center" vertical="center"/>
    </xf>
    <xf numFmtId="4" fontId="54" fillId="0" borderId="1" xfId="1" applyNumberFormat="1" applyFont="1" applyFill="1" applyBorder="1" applyAlignment="1">
      <alignment vertical="center"/>
    </xf>
    <xf numFmtId="4" fontId="22" fillId="0" borderId="1" xfId="2" applyNumberFormat="1" applyFont="1" applyFill="1" applyBorder="1" applyAlignment="1">
      <alignment horizontal="right" vertical="center" wrapText="1"/>
    </xf>
    <xf numFmtId="175" fontId="24" fillId="0" borderId="4" xfId="2" applyNumberFormat="1" applyFont="1" applyFill="1" applyBorder="1" applyAlignment="1">
      <alignment horizontal="right" vertical="center"/>
    </xf>
    <xf numFmtId="175" fontId="24" fillId="0" borderId="7" xfId="2" applyNumberFormat="1" applyFont="1" applyFill="1" applyBorder="1" applyAlignment="1">
      <alignment horizontal="right" vertical="center"/>
    </xf>
    <xf numFmtId="164" fontId="56" fillId="0" borderId="4" xfId="2" applyFont="1" applyFill="1" applyBorder="1" applyAlignment="1">
      <alignment horizontal="right" vertical="center"/>
    </xf>
    <xf numFmtId="164" fontId="56" fillId="0" borderId="7" xfId="2" applyFont="1" applyFill="1" applyBorder="1" applyAlignment="1">
      <alignment horizontal="right" vertical="center"/>
    </xf>
    <xf numFmtId="4" fontId="21" fillId="0" borderId="1" xfId="2" applyNumberFormat="1" applyFont="1" applyFill="1" applyBorder="1" applyAlignment="1">
      <alignment horizontal="right" vertical="center"/>
    </xf>
    <xf numFmtId="0" fontId="22" fillId="0" borderId="1" xfId="1" applyNumberFormat="1" applyFont="1" applyFill="1" applyBorder="1" applyAlignment="1">
      <alignment vertical="center" wrapText="1"/>
    </xf>
    <xf numFmtId="0" fontId="3" fillId="0" borderId="4" xfId="4" applyFont="1" applyFill="1" applyBorder="1" applyAlignment="1">
      <alignment horizontal="right" vertical="center"/>
    </xf>
    <xf numFmtId="0" fontId="3" fillId="0" borderId="7" xfId="4" applyFont="1" applyBorder="1" applyAlignment="1">
      <alignment horizontal="right" vertical="center"/>
    </xf>
    <xf numFmtId="170" fontId="3" fillId="0" borderId="4" xfId="1" applyNumberFormat="1" applyFont="1" applyFill="1" applyBorder="1" applyAlignment="1">
      <alignment horizontal="center" vertical="center" wrapText="1"/>
    </xf>
    <xf numFmtId="170" fontId="3" fillId="0" borderId="7" xfId="1" applyNumberFormat="1" applyFont="1" applyFill="1" applyBorder="1" applyAlignment="1">
      <alignment horizontal="center" vertical="center" wrapText="1"/>
    </xf>
    <xf numFmtId="4" fontId="54" fillId="0" borderId="4" xfId="1" applyNumberFormat="1" applyFont="1" applyFill="1" applyBorder="1" applyAlignment="1">
      <alignment vertical="center"/>
    </xf>
    <xf numFmtId="4" fontId="54" fillId="0" borderId="7" xfId="1" applyNumberFormat="1" applyFont="1" applyFill="1" applyBorder="1" applyAlignment="1">
      <alignment vertical="center"/>
    </xf>
    <xf numFmtId="4" fontId="22" fillId="0" borderId="4" xfId="1" applyNumberFormat="1" applyFont="1" applyFill="1" applyBorder="1" applyAlignment="1">
      <alignment vertical="center" wrapText="1"/>
    </xf>
    <xf numFmtId="4" fontId="22" fillId="0" borderId="6" xfId="1" applyNumberFormat="1" applyFont="1" applyFill="1" applyBorder="1" applyAlignment="1">
      <alignment vertical="center" wrapText="1"/>
    </xf>
    <xf numFmtId="169" fontId="22" fillId="0" borderId="1" xfId="1" applyFont="1" applyFill="1" applyBorder="1" applyAlignment="1">
      <alignment vertical="center" wrapText="1"/>
    </xf>
    <xf numFmtId="0" fontId="3" fillId="0" borderId="7" xfId="4" applyFont="1" applyBorder="1" applyAlignment="1">
      <alignment horizontal="right" vertical="center" wrapText="1"/>
    </xf>
    <xf numFmtId="169" fontId="3" fillId="0" borderId="4" xfId="1" applyFont="1" applyFill="1" applyBorder="1" applyAlignment="1">
      <alignment vertical="center"/>
    </xf>
    <xf numFmtId="169" fontId="3" fillId="0" borderId="6" xfId="1" applyFont="1" applyFill="1" applyBorder="1" applyAlignment="1">
      <alignment vertical="center"/>
    </xf>
    <xf numFmtId="169" fontId="3" fillId="0" borderId="7" xfId="1" applyFont="1" applyFill="1" applyBorder="1" applyAlignment="1">
      <alignment vertical="center"/>
    </xf>
    <xf numFmtId="175" fontId="3" fillId="0" borderId="4" xfId="2" applyNumberFormat="1" applyFont="1" applyFill="1" applyBorder="1" applyAlignment="1">
      <alignment vertical="center"/>
    </xf>
    <xf numFmtId="175" fontId="3" fillId="0" borderId="6" xfId="2" applyNumberFormat="1" applyFont="1" applyFill="1" applyBorder="1" applyAlignment="1">
      <alignment vertical="center"/>
    </xf>
    <xf numFmtId="175" fontId="3" fillId="0" borderId="7" xfId="2" applyNumberFormat="1" applyFont="1" applyFill="1" applyBorder="1" applyAlignment="1">
      <alignment vertical="center"/>
    </xf>
    <xf numFmtId="4" fontId="21" fillId="0" borderId="1" xfId="2" applyNumberFormat="1" applyFont="1" applyFill="1" applyBorder="1" applyAlignment="1">
      <alignment vertical="center"/>
    </xf>
    <xf numFmtId="0" fontId="25" fillId="0" borderId="1" xfId="4" applyFont="1" applyFill="1" applyBorder="1" applyAlignment="1">
      <alignment horizontal="center" vertical="center" wrapText="1"/>
    </xf>
    <xf numFmtId="0" fontId="6" fillId="0" borderId="19" xfId="4" applyFont="1" applyFill="1" applyBorder="1" applyAlignment="1">
      <alignment horizontal="left" vertical="center" wrapText="1"/>
    </xf>
    <xf numFmtId="0" fontId="6" fillId="0" borderId="20" xfId="4" applyFont="1" applyFill="1" applyBorder="1" applyAlignment="1">
      <alignment horizontal="left" vertical="center" wrapText="1"/>
    </xf>
    <xf numFmtId="164" fontId="21" fillId="0" borderId="2" xfId="2" applyFont="1" applyFill="1" applyBorder="1" applyAlignment="1">
      <alignment horizontal="right" vertical="center" wrapText="1"/>
    </xf>
    <xf numFmtId="175" fontId="55" fillId="2" borderId="1" xfId="1" applyNumberFormat="1" applyFont="1" applyFill="1" applyBorder="1" applyAlignment="1">
      <alignment vertical="center"/>
    </xf>
    <xf numFmtId="175" fontId="55" fillId="2" borderId="4" xfId="1" applyNumberFormat="1" applyFont="1" applyFill="1" applyBorder="1" applyAlignment="1">
      <alignment vertical="center"/>
    </xf>
    <xf numFmtId="175" fontId="55" fillId="2" borderId="1" xfId="2" applyNumberFormat="1" applyFont="1" applyFill="1" applyBorder="1" applyAlignment="1">
      <alignment vertical="center"/>
    </xf>
    <xf numFmtId="175" fontId="55" fillId="2" borderId="4" xfId="2" applyNumberFormat="1" applyFont="1" applyFill="1" applyBorder="1" applyAlignment="1">
      <alignment vertical="center"/>
    </xf>
    <xf numFmtId="0" fontId="3" fillId="0" borderId="6" xfId="4" applyFont="1" applyFill="1" applyBorder="1" applyAlignment="1">
      <alignment horizontal="right" vertical="center"/>
    </xf>
    <xf numFmtId="164" fontId="55" fillId="2" borderId="1" xfId="2" applyFont="1" applyFill="1" applyBorder="1" applyAlignment="1">
      <alignment horizontal="right" vertical="center"/>
    </xf>
    <xf numFmtId="164" fontId="55" fillId="2" borderId="4" xfId="2" applyFont="1" applyFill="1" applyBorder="1" applyAlignment="1">
      <alignment horizontal="right" vertical="center"/>
    </xf>
    <xf numFmtId="164" fontId="55" fillId="2" borderId="1" xfId="2" applyFont="1" applyFill="1" applyBorder="1" applyAlignment="1">
      <alignment horizontal="right" vertical="center" wrapText="1"/>
    </xf>
    <xf numFmtId="164" fontId="55" fillId="2" borderId="4" xfId="2" applyFont="1" applyFill="1" applyBorder="1" applyAlignment="1">
      <alignment horizontal="right" vertical="center" wrapText="1"/>
    </xf>
    <xf numFmtId="0" fontId="3" fillId="0" borderId="7" xfId="4" applyFont="1" applyFill="1" applyBorder="1" applyAlignment="1">
      <alignment horizontal="right" vertical="center"/>
    </xf>
    <xf numFmtId="0" fontId="2" fillId="2" borderId="1" xfId="4" applyFont="1" applyFill="1" applyBorder="1" applyAlignment="1">
      <alignment horizontal="center" vertical="center"/>
    </xf>
    <xf numFmtId="0" fontId="2" fillId="2" borderId="4" xfId="4" applyFont="1" applyFill="1" applyBorder="1" applyAlignment="1">
      <alignment horizontal="center" vertical="center"/>
    </xf>
    <xf numFmtId="0" fontId="3" fillId="2" borderId="1" xfId="4" applyFont="1" applyFill="1" applyBorder="1" applyAlignment="1">
      <alignment horizontal="justify" vertical="center" wrapText="1"/>
    </xf>
    <xf numFmtId="0" fontId="3" fillId="2" borderId="4" xfId="4" applyFont="1" applyFill="1" applyBorder="1" applyAlignment="1">
      <alignment horizontal="justify" vertical="center" wrapText="1"/>
    </xf>
    <xf numFmtId="169" fontId="26" fillId="2" borderId="1" xfId="1" applyFont="1" applyFill="1" applyBorder="1" applyAlignment="1">
      <alignment horizontal="center" vertical="center"/>
    </xf>
    <xf numFmtId="169" fontId="26" fillId="2" borderId="4" xfId="1" applyFont="1" applyFill="1" applyBorder="1" applyAlignment="1">
      <alignment horizontal="center" vertical="center"/>
    </xf>
    <xf numFmtId="175" fontId="26" fillId="2" borderId="1" xfId="2" applyNumberFormat="1" applyFont="1" applyFill="1" applyBorder="1" applyAlignment="1">
      <alignment horizontal="center" vertical="center"/>
    </xf>
    <xf numFmtId="175" fontId="26" fillId="2" borderId="4" xfId="2" applyNumberFormat="1" applyFont="1" applyFill="1" applyBorder="1" applyAlignment="1">
      <alignment horizontal="center" vertical="center"/>
    </xf>
    <xf numFmtId="175" fontId="26" fillId="2" borderId="7" xfId="2" applyNumberFormat="1" applyFont="1" applyFill="1" applyBorder="1" applyAlignment="1">
      <alignment horizontal="center" vertical="center"/>
    </xf>
    <xf numFmtId="0" fontId="2" fillId="21" borderId="1" xfId="4" applyFont="1" applyFill="1" applyBorder="1" applyAlignment="1">
      <alignment horizontal="center" vertical="center" wrapText="1"/>
    </xf>
    <xf numFmtId="0" fontId="2" fillId="30" borderId="4" xfId="4" applyFont="1" applyFill="1" applyBorder="1" applyAlignment="1">
      <alignment horizontal="center" vertical="center" wrapText="1"/>
    </xf>
    <xf numFmtId="0" fontId="2" fillId="30" borderId="7" xfId="4" applyFont="1" applyFill="1" applyBorder="1" applyAlignment="1">
      <alignment horizontal="center" vertical="center" wrapText="1"/>
    </xf>
    <xf numFmtId="0" fontId="2" fillId="30" borderId="1" xfId="4" applyFont="1" applyFill="1" applyBorder="1" applyAlignment="1">
      <alignment horizontal="center" vertical="center" wrapText="1"/>
    </xf>
    <xf numFmtId="0" fontId="2" fillId="43" borderId="1" xfId="4" applyFont="1" applyFill="1" applyBorder="1" applyAlignment="1">
      <alignment horizontal="center" vertical="center" wrapText="1"/>
    </xf>
    <xf numFmtId="0" fontId="2" fillId="43" borderId="4" xfId="4" applyFont="1" applyFill="1" applyBorder="1" applyAlignment="1">
      <alignment horizontal="center" vertical="center" wrapText="1"/>
    </xf>
    <xf numFmtId="0" fontId="2" fillId="43" borderId="7" xfId="4" applyFont="1" applyFill="1" applyBorder="1" applyAlignment="1">
      <alignment horizontal="center" vertical="center" wrapText="1"/>
    </xf>
    <xf numFmtId="4" fontId="2" fillId="30" borderId="4" xfId="4" applyNumberFormat="1" applyFont="1" applyFill="1" applyBorder="1" applyAlignment="1">
      <alignment horizontal="center" vertical="center" wrapText="1"/>
    </xf>
    <xf numFmtId="4" fontId="2" fillId="30" borderId="7" xfId="4" applyNumberFormat="1" applyFont="1" applyFill="1" applyBorder="1" applyAlignment="1">
      <alignment horizontal="center" vertical="center" wrapText="1"/>
    </xf>
    <xf numFmtId="0" fontId="2" fillId="2" borderId="6" xfId="4" applyFont="1" applyFill="1" applyBorder="1" applyAlignment="1">
      <alignment horizontal="center" vertical="center"/>
    </xf>
    <xf numFmtId="0" fontId="72" fillId="21" borderId="1" xfId="4" applyFont="1" applyFill="1" applyBorder="1" applyAlignment="1">
      <alignment horizontal="center" vertical="center" wrapText="1"/>
    </xf>
    <xf numFmtId="0" fontId="15" fillId="21" borderId="1" xfId="4" applyFont="1" applyFill="1" applyBorder="1" applyAlignment="1">
      <alignment horizontal="center" vertical="center" wrapText="1"/>
    </xf>
    <xf numFmtId="0" fontId="3" fillId="30" borderId="1" xfId="4" applyFont="1" applyFill="1" applyBorder="1" applyAlignment="1">
      <alignment horizontal="center" vertical="center" wrapText="1"/>
    </xf>
    <xf numFmtId="0" fontId="3" fillId="30" borderId="1" xfId="4" applyFont="1" applyFill="1" applyBorder="1" applyAlignment="1">
      <alignment vertical="center"/>
    </xf>
    <xf numFmtId="0" fontId="2" fillId="21" borderId="8" xfId="1" applyNumberFormat="1" applyFont="1" applyFill="1" applyBorder="1" applyAlignment="1">
      <alignment horizontal="center" vertical="center" wrapText="1"/>
    </xf>
    <xf numFmtId="0" fontId="2" fillId="21" borderId="16" xfId="1" applyNumberFormat="1" applyFont="1" applyFill="1" applyBorder="1" applyAlignment="1">
      <alignment horizontal="center" vertical="center" wrapText="1"/>
    </xf>
    <xf numFmtId="0" fontId="2" fillId="21" borderId="5" xfId="1" applyNumberFormat="1" applyFont="1" applyFill="1" applyBorder="1" applyAlignment="1">
      <alignment horizontal="center" vertical="center" wrapText="1"/>
    </xf>
    <xf numFmtId="0" fontId="2" fillId="21" borderId="8" xfId="2" applyNumberFormat="1" applyFont="1" applyFill="1" applyBorder="1" applyAlignment="1">
      <alignment horizontal="center" vertical="center" wrapText="1"/>
    </xf>
    <xf numFmtId="0" fontId="2" fillId="21" borderId="16" xfId="2" applyNumberFormat="1" applyFont="1" applyFill="1" applyBorder="1" applyAlignment="1">
      <alignment horizontal="center" vertical="center" wrapText="1"/>
    </xf>
    <xf numFmtId="0" fontId="2" fillId="21" borderId="5" xfId="2" applyNumberFormat="1" applyFont="1" applyFill="1" applyBorder="1" applyAlignment="1">
      <alignment horizontal="center" vertical="center" wrapText="1"/>
    </xf>
    <xf numFmtId="0" fontId="2" fillId="30" borderId="8" xfId="2" applyNumberFormat="1" applyFont="1" applyFill="1" applyBorder="1" applyAlignment="1">
      <alignment horizontal="center" vertical="center" wrapText="1"/>
    </xf>
    <xf numFmtId="0" fontId="2" fillId="30" borderId="16" xfId="2" applyNumberFormat="1" applyFont="1" applyFill="1" applyBorder="1" applyAlignment="1">
      <alignment horizontal="center" vertical="center" wrapText="1"/>
    </xf>
    <xf numFmtId="0" fontId="2" fillId="30" borderId="5" xfId="2" applyNumberFormat="1" applyFont="1" applyFill="1" applyBorder="1" applyAlignment="1">
      <alignment horizontal="center" vertical="center" wrapText="1"/>
    </xf>
    <xf numFmtId="0" fontId="2" fillId="21" borderId="1" xfId="1" applyNumberFormat="1" applyFont="1" applyFill="1" applyBorder="1" applyAlignment="1">
      <alignment horizontal="center" vertical="center" wrapText="1"/>
    </xf>
    <xf numFmtId="0" fontId="23" fillId="21" borderId="1" xfId="1" applyNumberFormat="1" applyFont="1" applyFill="1" applyBorder="1" applyAlignment="1">
      <alignment horizontal="center" vertical="center" wrapText="1"/>
    </xf>
    <xf numFmtId="0" fontId="2" fillId="30" borderId="8" xfId="1" applyNumberFormat="1" applyFont="1" applyFill="1" applyBorder="1" applyAlignment="1">
      <alignment horizontal="center" vertical="center" wrapText="1"/>
    </xf>
    <xf numFmtId="0" fontId="2" fillId="30" borderId="16" xfId="1" applyNumberFormat="1" applyFont="1" applyFill="1" applyBorder="1" applyAlignment="1">
      <alignment horizontal="center" vertical="center" wrapText="1"/>
    </xf>
    <xf numFmtId="0" fontId="2" fillId="30" borderId="5" xfId="1" applyNumberFormat="1" applyFont="1" applyFill="1" applyBorder="1" applyAlignment="1">
      <alignment horizontal="center" vertical="center" wrapText="1"/>
    </xf>
    <xf numFmtId="0" fontId="24" fillId="0" borderId="4" xfId="4" applyFont="1" applyFill="1" applyBorder="1" applyAlignment="1">
      <alignment horizontal="center" vertical="center"/>
    </xf>
    <xf numFmtId="0" fontId="24" fillId="0" borderId="7" xfId="4" applyFont="1" applyFill="1" applyBorder="1" applyAlignment="1">
      <alignment horizontal="center" vertical="center"/>
    </xf>
    <xf numFmtId="3" fontId="24" fillId="0" borderId="4" xfId="1" applyNumberFormat="1" applyFont="1" applyFill="1" applyBorder="1" applyAlignment="1">
      <alignment horizontal="center" vertical="center" wrapText="1"/>
    </xf>
    <xf numFmtId="3" fontId="24" fillId="0" borderId="7" xfId="1" applyNumberFormat="1" applyFont="1" applyFill="1" applyBorder="1" applyAlignment="1">
      <alignment horizontal="center" vertical="center" wrapText="1"/>
    </xf>
    <xf numFmtId="1" fontId="24" fillId="0" borderId="4" xfId="4" applyNumberFormat="1" applyFont="1" applyFill="1" applyBorder="1" applyAlignment="1">
      <alignment horizontal="center" vertical="center"/>
    </xf>
    <xf numFmtId="1" fontId="24" fillId="0" borderId="7" xfId="4" applyNumberFormat="1" applyFont="1" applyFill="1" applyBorder="1" applyAlignment="1">
      <alignment horizontal="center" vertical="center"/>
    </xf>
    <xf numFmtId="4" fontId="24" fillId="0" borderId="4" xfId="1" applyNumberFormat="1" applyFont="1" applyFill="1" applyBorder="1" applyAlignment="1">
      <alignment horizontal="center" vertical="center" wrapText="1"/>
    </xf>
    <xf numFmtId="4" fontId="24" fillId="0" borderId="7" xfId="1" applyNumberFormat="1" applyFont="1" applyFill="1" applyBorder="1" applyAlignment="1">
      <alignment horizontal="center" vertical="center" wrapText="1"/>
    </xf>
    <xf numFmtId="0" fontId="3" fillId="0" borderId="4" xfId="4" applyFont="1" applyFill="1" applyBorder="1" applyAlignment="1">
      <alignment horizontal="justify" vertical="center"/>
    </xf>
    <xf numFmtId="0" fontId="3" fillId="0" borderId="6" xfId="4" applyFont="1" applyFill="1" applyBorder="1" applyAlignment="1">
      <alignment horizontal="justify" vertical="center"/>
    </xf>
    <xf numFmtId="0" fontId="3" fillId="0" borderId="7" xfId="4" applyFont="1" applyFill="1" applyBorder="1" applyAlignment="1">
      <alignment horizontal="justify" vertical="center"/>
    </xf>
    <xf numFmtId="4" fontId="22" fillId="0" borderId="6" xfId="1" applyNumberFormat="1" applyFont="1" applyFill="1" applyBorder="1" applyAlignment="1">
      <alignment horizontal="right" vertical="center"/>
    </xf>
    <xf numFmtId="175" fontId="21" fillId="0" borderId="4" xfId="2" applyNumberFormat="1" applyFont="1" applyFill="1" applyBorder="1" applyAlignment="1">
      <alignment vertical="center" wrapText="1"/>
    </xf>
    <xf numFmtId="0" fontId="21" fillId="0" borderId="6" xfId="2" applyNumberFormat="1" applyFont="1" applyFill="1" applyBorder="1" applyAlignment="1">
      <alignment vertical="center" wrapText="1"/>
    </xf>
    <xf numFmtId="0" fontId="21" fillId="0" borderId="7" xfId="2" applyNumberFormat="1" applyFont="1" applyFill="1" applyBorder="1" applyAlignment="1">
      <alignment vertical="center" wrapText="1"/>
    </xf>
    <xf numFmtId="175" fontId="55" fillId="0" borderId="1" xfId="2" applyNumberFormat="1" applyFont="1" applyFill="1" applyBorder="1" applyAlignment="1">
      <alignment vertical="center"/>
    </xf>
    <xf numFmtId="175" fontId="55" fillId="0" borderId="4" xfId="2" applyNumberFormat="1" applyFont="1" applyFill="1" applyBorder="1" applyAlignment="1">
      <alignment vertical="center"/>
    </xf>
    <xf numFmtId="175" fontId="22" fillId="0" borderId="4" xfId="2" applyNumberFormat="1" applyFont="1" applyFill="1" applyBorder="1" applyAlignment="1">
      <alignment vertical="center" wrapText="1"/>
    </xf>
    <xf numFmtId="0" fontId="22" fillId="0" borderId="6" xfId="2" applyNumberFormat="1" applyFont="1" applyFill="1" applyBorder="1" applyAlignment="1">
      <alignment vertical="center" wrapText="1"/>
    </xf>
    <xf numFmtId="0" fontId="22" fillId="0" borderId="7" xfId="2" applyNumberFormat="1" applyFont="1" applyFill="1" applyBorder="1" applyAlignment="1">
      <alignment vertical="center" wrapText="1"/>
    </xf>
    <xf numFmtId="175" fontId="21" fillId="0" borderId="1" xfId="2" applyNumberFormat="1" applyFont="1" applyFill="1" applyBorder="1" applyAlignment="1">
      <alignment vertical="center" wrapText="1"/>
    </xf>
    <xf numFmtId="175" fontId="22" fillId="0" borderId="1" xfId="2" applyNumberFormat="1" applyFont="1" applyFill="1" applyBorder="1" applyAlignment="1">
      <alignment vertical="center" wrapText="1"/>
    </xf>
    <xf numFmtId="175" fontId="22" fillId="0" borderId="6" xfId="2" applyNumberFormat="1" applyFont="1" applyFill="1" applyBorder="1" applyAlignment="1">
      <alignment vertical="center" wrapText="1"/>
    </xf>
    <xf numFmtId="175" fontId="22" fillId="0" borderId="7" xfId="2" applyNumberFormat="1" applyFont="1" applyFill="1" applyBorder="1" applyAlignment="1">
      <alignment vertical="center" wrapText="1"/>
    </xf>
    <xf numFmtId="4" fontId="56" fillId="0" borderId="4" xfId="2" applyNumberFormat="1" applyFont="1" applyFill="1" applyBorder="1" applyAlignment="1">
      <alignment horizontal="right" vertical="center"/>
    </xf>
    <xf numFmtId="4" fontId="56" fillId="0" borderId="7" xfId="2" applyNumberFormat="1" applyFont="1" applyFill="1" applyBorder="1" applyAlignment="1">
      <alignment horizontal="right" vertical="center"/>
    </xf>
    <xf numFmtId="4" fontId="22" fillId="0" borderId="1" xfId="2" applyNumberFormat="1" applyFont="1" applyFill="1" applyBorder="1" applyAlignment="1">
      <alignment horizontal="right" vertical="center"/>
    </xf>
    <xf numFmtId="4" fontId="56" fillId="0" borderId="6" xfId="2" applyNumberFormat="1" applyFont="1" applyFill="1" applyBorder="1" applyAlignment="1">
      <alignment horizontal="right" vertical="center"/>
    </xf>
    <xf numFmtId="4" fontId="56" fillId="0" borderId="1" xfId="2" applyNumberFormat="1" applyFont="1" applyFill="1" applyBorder="1" applyAlignment="1">
      <alignment vertical="center"/>
    </xf>
    <xf numFmtId="4" fontId="56" fillId="0" borderId="4" xfId="2" applyNumberFormat="1" applyFont="1" applyFill="1" applyBorder="1" applyAlignment="1">
      <alignment vertical="center"/>
    </xf>
    <xf numFmtId="0" fontId="3" fillId="44" borderId="0" xfId="4" applyFont="1" applyFill="1" applyBorder="1" applyAlignment="1">
      <alignment horizontal="center" vertical="center" wrapText="1"/>
    </xf>
    <xf numFmtId="0" fontId="38" fillId="0" borderId="1" xfId="4" applyFont="1" applyFill="1" applyBorder="1" applyAlignment="1">
      <alignment horizontal="center" vertical="center" wrapText="1"/>
    </xf>
    <xf numFmtId="0" fontId="40" fillId="3" borderId="8" xfId="4" applyFont="1" applyFill="1" applyBorder="1" applyAlignment="1">
      <alignment horizontal="center" vertical="center"/>
    </xf>
    <xf numFmtId="0" fontId="40" fillId="3" borderId="16" xfId="4" applyFont="1" applyFill="1" applyBorder="1" applyAlignment="1">
      <alignment horizontal="center" vertical="center"/>
    </xf>
    <xf numFmtId="0" fontId="40" fillId="3" borderId="5" xfId="4" applyFont="1" applyFill="1" applyBorder="1" applyAlignment="1">
      <alignment horizontal="center" vertical="center"/>
    </xf>
    <xf numFmtId="0" fontId="41" fillId="0" borderId="1" xfId="4" applyFont="1" applyFill="1" applyBorder="1" applyAlignment="1">
      <alignment horizontal="left" vertical="center" wrapText="1"/>
    </xf>
    <xf numFmtId="3" fontId="41" fillId="0" borderId="1" xfId="4" applyNumberFormat="1" applyFont="1" applyBorder="1" applyAlignment="1">
      <alignment horizontal="left" wrapText="1"/>
    </xf>
    <xf numFmtId="3" fontId="41" fillId="20" borderId="1" xfId="4" applyNumberFormat="1" applyFont="1" applyFill="1" applyBorder="1" applyAlignment="1">
      <alignment horizontal="left" wrapText="1"/>
    </xf>
    <xf numFmtId="0" fontId="39" fillId="3" borderId="1" xfId="4" applyFont="1" applyFill="1" applyBorder="1" applyAlignment="1">
      <alignment horizontal="center" vertical="center" wrapText="1"/>
    </xf>
    <xf numFmtId="0" fontId="49" fillId="3" borderId="1" xfId="4" applyFont="1" applyFill="1" applyBorder="1" applyAlignment="1">
      <alignment vertical="center" wrapText="1"/>
    </xf>
    <xf numFmtId="0" fontId="39" fillId="26" borderId="18" xfId="4" applyFont="1" applyFill="1" applyBorder="1" applyAlignment="1">
      <alignment horizontal="left" vertical="center" wrapText="1"/>
    </xf>
    <xf numFmtId="0" fontId="39" fillId="26" borderId="22" xfId="4" applyFont="1" applyFill="1" applyBorder="1" applyAlignment="1">
      <alignment horizontal="left" vertical="center" wrapText="1"/>
    </xf>
    <xf numFmtId="0" fontId="42" fillId="3" borderId="1" xfId="4" applyFont="1" applyFill="1" applyBorder="1" applyAlignment="1">
      <alignment horizontal="center" vertical="center" wrapText="1"/>
    </xf>
    <xf numFmtId="0" fontId="1" fillId="0" borderId="1" xfId="4" applyFont="1" applyBorder="1" applyAlignment="1">
      <alignment horizontal="center" vertical="center" wrapText="1"/>
    </xf>
    <xf numFmtId="173" fontId="3" fillId="2" borderId="4" xfId="1" applyNumberFormat="1" applyFont="1" applyFill="1" applyBorder="1" applyAlignment="1">
      <alignment horizontal="right" vertical="center"/>
    </xf>
    <xf numFmtId="173" fontId="3" fillId="2" borderId="6" xfId="1" applyNumberFormat="1" applyFont="1" applyFill="1" applyBorder="1" applyAlignment="1">
      <alignment horizontal="right" vertical="center"/>
    </xf>
    <xf numFmtId="173" fontId="3" fillId="2" borderId="7" xfId="1" applyNumberFormat="1" applyFont="1" applyFill="1" applyBorder="1" applyAlignment="1">
      <alignment horizontal="right" vertical="center"/>
    </xf>
    <xf numFmtId="0" fontId="2" fillId="2" borderId="4" xfId="4" applyFont="1" applyFill="1" applyBorder="1" applyAlignment="1">
      <alignment horizontal="center" vertical="center" wrapText="1"/>
    </xf>
    <xf numFmtId="0" fontId="2" fillId="2" borderId="6" xfId="4" applyFont="1" applyFill="1" applyBorder="1" applyAlignment="1">
      <alignment horizontal="center" vertical="center" wrapText="1"/>
    </xf>
    <xf numFmtId="0" fontId="18" fillId="2" borderId="0" xfId="4" applyFont="1" applyFill="1" applyBorder="1" applyAlignment="1">
      <alignment horizontal="left" vertical="top" wrapText="1"/>
    </xf>
    <xf numFmtId="0" fontId="26" fillId="2" borderId="0" xfId="4" applyFont="1" applyFill="1" applyBorder="1" applyAlignment="1">
      <alignment horizontal="center" vertical="center" wrapText="1"/>
    </xf>
    <xf numFmtId="0" fontId="37" fillId="2" borderId="0" xfId="4" applyFont="1" applyFill="1" applyBorder="1" applyAlignment="1">
      <alignment horizontal="center" vertical="top" wrapText="1"/>
    </xf>
    <xf numFmtId="0" fontId="26" fillId="2" borderId="4" xfId="4" applyFont="1" applyFill="1" applyBorder="1" applyAlignment="1">
      <alignment horizontal="center" vertical="center" wrapText="1"/>
    </xf>
    <xf numFmtId="0" fontId="26" fillId="2" borderId="6" xfId="4" applyFont="1" applyFill="1" applyBorder="1" applyAlignment="1">
      <alignment horizontal="center" vertical="center" wrapText="1"/>
    </xf>
    <xf numFmtId="0" fontId="26" fillId="2" borderId="7" xfId="4" applyFont="1" applyFill="1" applyBorder="1" applyAlignment="1">
      <alignment horizontal="center" vertical="center" wrapText="1"/>
    </xf>
    <xf numFmtId="0" fontId="3" fillId="2" borderId="6" xfId="4" applyFont="1" applyFill="1" applyBorder="1" applyAlignment="1">
      <alignment horizontal="justify" vertical="center" wrapText="1"/>
    </xf>
    <xf numFmtId="0" fontId="3" fillId="2" borderId="7" xfId="4" applyFont="1" applyFill="1" applyBorder="1" applyAlignment="1">
      <alignment horizontal="justify" vertical="center" wrapText="1"/>
    </xf>
    <xf numFmtId="169" fontId="3" fillId="2" borderId="4" xfId="1" applyFont="1" applyFill="1" applyBorder="1" applyAlignment="1">
      <alignment horizontal="center" vertical="center"/>
    </xf>
    <xf numFmtId="169" fontId="3" fillId="2" borderId="6" xfId="1" applyFont="1" applyFill="1" applyBorder="1" applyAlignment="1">
      <alignment horizontal="center" vertical="center"/>
    </xf>
    <xf numFmtId="169" fontId="3" fillId="2" borderId="7" xfId="1" applyFont="1" applyFill="1" applyBorder="1" applyAlignment="1">
      <alignment horizontal="center" vertical="center"/>
    </xf>
    <xf numFmtId="0" fontId="3" fillId="2" borderId="6" xfId="4" applyFont="1" applyFill="1" applyBorder="1" applyAlignment="1">
      <alignment horizontal="center" vertical="center" wrapText="1"/>
    </xf>
    <xf numFmtId="0" fontId="3" fillId="2" borderId="4" xfId="4" applyFont="1" applyFill="1" applyBorder="1" applyAlignment="1">
      <alignment vertical="center" wrapText="1"/>
    </xf>
    <xf numFmtId="0" fontId="3" fillId="2" borderId="6" xfId="4" applyFont="1" applyFill="1" applyBorder="1" applyAlignment="1">
      <alignment vertical="center" wrapText="1"/>
    </xf>
    <xf numFmtId="0" fontId="3" fillId="2" borderId="7" xfId="4" applyFont="1" applyFill="1" applyBorder="1" applyAlignment="1">
      <alignment vertical="center" wrapText="1"/>
    </xf>
    <xf numFmtId="169" fontId="3" fillId="2" borderId="4" xfId="1" applyFont="1" applyFill="1" applyBorder="1" applyAlignment="1">
      <alignment horizontal="right" vertical="center"/>
    </xf>
    <xf numFmtId="169" fontId="3" fillId="2" borderId="6" xfId="1" applyFont="1" applyFill="1" applyBorder="1" applyAlignment="1">
      <alignment horizontal="right" vertical="center"/>
    </xf>
    <xf numFmtId="169" fontId="3" fillId="2" borderId="7" xfId="1" applyFont="1" applyFill="1" applyBorder="1" applyAlignment="1">
      <alignment horizontal="right" vertical="center"/>
    </xf>
    <xf numFmtId="173" fontId="3" fillId="2" borderId="1" xfId="1" applyNumberFormat="1" applyFont="1" applyFill="1" applyBorder="1" applyAlignment="1">
      <alignment horizontal="right" vertical="center"/>
    </xf>
    <xf numFmtId="173" fontId="3" fillId="0" borderId="4" xfId="1" applyNumberFormat="1" applyFont="1" applyFill="1" applyBorder="1" applyAlignment="1">
      <alignment horizontal="right" vertical="center"/>
    </xf>
    <xf numFmtId="173" fontId="3" fillId="0" borderId="6" xfId="1" applyNumberFormat="1" applyFont="1" applyFill="1" applyBorder="1" applyAlignment="1">
      <alignment horizontal="right" vertical="center"/>
    </xf>
    <xf numFmtId="173" fontId="3" fillId="0" borderId="7" xfId="1" applyNumberFormat="1" applyFont="1" applyFill="1" applyBorder="1" applyAlignment="1">
      <alignment horizontal="right" vertical="center"/>
    </xf>
    <xf numFmtId="173" fontId="2" fillId="2" borderId="4" xfId="1" applyNumberFormat="1" applyFont="1" applyFill="1" applyBorder="1" applyAlignment="1">
      <alignment horizontal="right" vertical="center"/>
    </xf>
    <xf numFmtId="173" fontId="2" fillId="2" borderId="6" xfId="1" applyNumberFormat="1" applyFont="1" applyFill="1" applyBorder="1" applyAlignment="1">
      <alignment horizontal="right" vertical="center"/>
    </xf>
    <xf numFmtId="173" fontId="2" fillId="2" borderId="7" xfId="1" applyNumberFormat="1" applyFont="1" applyFill="1" applyBorder="1" applyAlignment="1">
      <alignment horizontal="right" vertical="center"/>
    </xf>
    <xf numFmtId="173" fontId="2" fillId="2" borderId="4" xfId="1" applyNumberFormat="1" applyFont="1" applyFill="1" applyBorder="1" applyAlignment="1">
      <alignment horizontal="right" vertical="center" wrapText="1"/>
    </xf>
    <xf numFmtId="173" fontId="2" fillId="2" borderId="6" xfId="1" applyNumberFormat="1" applyFont="1" applyFill="1" applyBorder="1" applyAlignment="1">
      <alignment horizontal="right" vertical="center" wrapText="1"/>
    </xf>
    <xf numFmtId="173" fontId="2" fillId="2" borderId="7" xfId="1" applyNumberFormat="1" applyFont="1" applyFill="1" applyBorder="1" applyAlignment="1">
      <alignment horizontal="right" vertical="center" wrapText="1"/>
    </xf>
    <xf numFmtId="173" fontId="2" fillId="2" borderId="1" xfId="1" applyNumberFormat="1" applyFont="1" applyFill="1" applyBorder="1" applyAlignment="1">
      <alignment horizontal="right" vertical="center"/>
    </xf>
    <xf numFmtId="0" fontId="26" fillId="2" borderId="7" xfId="4" applyFont="1" applyFill="1" applyBorder="1" applyAlignment="1">
      <alignment horizontal="justify" vertical="center" wrapText="1"/>
    </xf>
    <xf numFmtId="0" fontId="26" fillId="14" borderId="4" xfId="4" applyFont="1" applyFill="1" applyBorder="1" applyAlignment="1">
      <alignment horizontal="justify" vertical="center" wrapText="1"/>
    </xf>
    <xf numFmtId="0" fontId="26" fillId="14" borderId="7" xfId="4" applyFont="1" applyFill="1" applyBorder="1" applyAlignment="1">
      <alignment horizontal="justify" vertical="center" wrapText="1"/>
    </xf>
    <xf numFmtId="3" fontId="3" fillId="14" borderId="4" xfId="4" applyNumberFormat="1" applyFont="1" applyFill="1" applyBorder="1" applyAlignment="1">
      <alignment horizontal="left" vertical="center" wrapText="1"/>
    </xf>
    <xf numFmtId="3" fontId="3" fillId="14" borderId="7" xfId="4" applyNumberFormat="1" applyFont="1" applyFill="1" applyBorder="1" applyAlignment="1">
      <alignment horizontal="left" vertical="center" wrapText="1"/>
    </xf>
    <xf numFmtId="3" fontId="26" fillId="15" borderId="4" xfId="4" applyNumberFormat="1" applyFont="1" applyFill="1" applyBorder="1" applyAlignment="1">
      <alignment horizontal="right" vertical="center" wrapText="1"/>
    </xf>
    <xf numFmtId="3" fontId="26" fillId="15" borderId="7" xfId="4" applyNumberFormat="1" applyFont="1" applyFill="1" applyBorder="1" applyAlignment="1">
      <alignment horizontal="right" vertical="center" wrapText="1"/>
    </xf>
    <xf numFmtId="169" fontId="3" fillId="2" borderId="1" xfId="1" applyFont="1" applyFill="1" applyBorder="1" applyAlignment="1">
      <alignment horizontal="right" vertical="center"/>
    </xf>
    <xf numFmtId="0" fontId="25" fillId="2" borderId="4" xfId="4" applyFont="1" applyFill="1" applyBorder="1" applyAlignment="1">
      <alignment horizontal="center" vertical="center" wrapText="1"/>
    </xf>
    <xf numFmtId="0" fontId="25" fillId="2" borderId="6" xfId="4" applyFont="1" applyFill="1" applyBorder="1" applyAlignment="1">
      <alignment horizontal="center" vertical="center" wrapText="1"/>
    </xf>
    <xf numFmtId="0" fontId="25" fillId="2" borderId="7" xfId="4" applyFont="1" applyFill="1" applyBorder="1" applyAlignment="1">
      <alignment horizontal="center" vertical="center" wrapText="1"/>
    </xf>
    <xf numFmtId="1" fontId="24" fillId="2" borderId="4" xfId="4" applyNumberFormat="1" applyFont="1" applyFill="1" applyBorder="1" applyAlignment="1">
      <alignment horizontal="center" vertical="center" wrapText="1"/>
    </xf>
    <xf numFmtId="1" fontId="24" fillId="2" borderId="6" xfId="4" applyNumberFormat="1" applyFont="1" applyFill="1" applyBorder="1" applyAlignment="1">
      <alignment horizontal="center" vertical="center" wrapText="1"/>
    </xf>
    <xf numFmtId="1" fontId="24" fillId="2" borderId="7" xfId="4" applyNumberFormat="1" applyFont="1" applyFill="1" applyBorder="1" applyAlignment="1">
      <alignment horizontal="center" vertical="center" wrapText="1"/>
    </xf>
    <xf numFmtId="1" fontId="24" fillId="2" borderId="4" xfId="4" applyNumberFormat="1" applyFont="1" applyFill="1" applyBorder="1" applyAlignment="1">
      <alignment horizontal="left" vertical="center" wrapText="1"/>
    </xf>
    <xf numFmtId="1" fontId="24" fillId="2" borderId="6" xfId="4" applyNumberFormat="1" applyFont="1" applyFill="1" applyBorder="1" applyAlignment="1">
      <alignment horizontal="left" vertical="center" wrapText="1"/>
    </xf>
    <xf numFmtId="1" fontId="24" fillId="2" borderId="7" xfId="4" applyNumberFormat="1" applyFont="1" applyFill="1" applyBorder="1" applyAlignment="1">
      <alignment horizontal="left" vertical="center" wrapText="1"/>
    </xf>
    <xf numFmtId="0" fontId="24" fillId="2" borderId="4" xfId="4" applyFont="1" applyFill="1" applyBorder="1" applyAlignment="1">
      <alignment horizontal="left" vertical="center" wrapText="1"/>
    </xf>
    <xf numFmtId="0" fontId="24" fillId="2" borderId="7" xfId="4" applyFont="1" applyFill="1" applyBorder="1" applyAlignment="1">
      <alignment horizontal="left" vertical="center" wrapText="1"/>
    </xf>
    <xf numFmtId="169" fontId="3" fillId="0" borderId="4" xfId="1" applyFont="1" applyFill="1" applyBorder="1" applyAlignment="1">
      <alignment horizontal="center" vertical="center" wrapText="1"/>
    </xf>
    <xf numFmtId="169" fontId="3" fillId="0" borderId="6" xfId="1" applyFont="1" applyFill="1" applyBorder="1" applyAlignment="1">
      <alignment horizontal="center" vertical="center" wrapText="1"/>
    </xf>
    <xf numFmtId="0" fontId="25" fillId="2" borderId="3" xfId="4" applyFont="1" applyFill="1" applyBorder="1" applyAlignment="1">
      <alignment horizontal="center" vertical="center" wrapText="1"/>
    </xf>
    <xf numFmtId="0" fontId="25" fillId="2" borderId="0" xfId="4" applyFont="1" applyFill="1" applyBorder="1" applyAlignment="1">
      <alignment horizontal="center" vertical="center" wrapText="1"/>
    </xf>
    <xf numFmtId="0" fontId="25" fillId="2" borderId="22" xfId="4" applyFont="1" applyFill="1" applyBorder="1" applyAlignment="1">
      <alignment horizontal="center" vertical="center" wrapText="1"/>
    </xf>
    <xf numFmtId="0" fontId="6" fillId="2" borderId="19" xfId="4" applyFont="1" applyFill="1" applyBorder="1" applyAlignment="1">
      <alignment horizontal="left" vertical="center" wrapText="1"/>
    </xf>
    <xf numFmtId="0" fontId="6" fillId="2" borderId="20" xfId="4" applyFont="1" applyFill="1" applyBorder="1" applyAlignment="1">
      <alignment horizontal="left" vertical="center" wrapText="1"/>
    </xf>
    <xf numFmtId="0" fontId="6" fillId="2" borderId="21" xfId="4" applyFont="1" applyFill="1" applyBorder="1" applyAlignment="1">
      <alignment horizontal="left" vertical="center" wrapText="1"/>
    </xf>
    <xf numFmtId="0" fontId="6" fillId="2" borderId="4" xfId="4" applyFont="1" applyFill="1" applyBorder="1" applyAlignment="1">
      <alignment horizontal="justify" vertical="center" wrapText="1"/>
    </xf>
    <xf numFmtId="0" fontId="6" fillId="2" borderId="7" xfId="4" applyFont="1" applyFill="1" applyBorder="1" applyAlignment="1">
      <alignment horizontal="justify" vertical="center" wrapText="1"/>
    </xf>
    <xf numFmtId="169" fontId="3" fillId="0" borderId="1" xfId="1" applyFont="1" applyFill="1" applyBorder="1" applyAlignment="1">
      <alignment horizontal="center" vertical="center"/>
    </xf>
    <xf numFmtId="1" fontId="3" fillId="2" borderId="4" xfId="4" applyNumberFormat="1" applyFont="1" applyFill="1" applyBorder="1" applyAlignment="1">
      <alignment horizontal="center" vertical="center"/>
    </xf>
    <xf numFmtId="1" fontId="3" fillId="2" borderId="7" xfId="4" applyNumberFormat="1" applyFont="1" applyFill="1" applyBorder="1" applyAlignment="1">
      <alignment horizontal="center" vertical="center"/>
    </xf>
    <xf numFmtId="169" fontId="3" fillId="2" borderId="4" xfId="1" applyFont="1" applyFill="1" applyBorder="1" applyAlignment="1">
      <alignment horizontal="center" vertical="center" wrapText="1"/>
    </xf>
    <xf numFmtId="169" fontId="3" fillId="2" borderId="7" xfId="1" applyFont="1" applyFill="1" applyBorder="1" applyAlignment="1">
      <alignment horizontal="center" vertical="center" wrapText="1"/>
    </xf>
    <xf numFmtId="169" fontId="3" fillId="2" borderId="1" xfId="1" applyFont="1" applyFill="1" applyBorder="1" applyAlignment="1">
      <alignment horizontal="center" vertical="center"/>
    </xf>
    <xf numFmtId="169" fontId="3" fillId="2" borderId="4" xfId="1" applyFont="1" applyFill="1" applyBorder="1" applyAlignment="1">
      <alignment vertical="center"/>
    </xf>
    <xf numFmtId="169" fontId="3" fillId="2" borderId="7" xfId="1" applyFont="1" applyFill="1" applyBorder="1" applyAlignment="1">
      <alignment vertical="center"/>
    </xf>
    <xf numFmtId="169" fontId="26" fillId="2" borderId="7" xfId="1" applyFont="1" applyFill="1" applyBorder="1" applyAlignment="1">
      <alignment horizontal="center" vertical="center"/>
    </xf>
    <xf numFmtId="169" fontId="25" fillId="2" borderId="4" xfId="1" applyFont="1" applyFill="1" applyBorder="1" applyAlignment="1">
      <alignment horizontal="center" vertical="center"/>
    </xf>
    <xf numFmtId="169" fontId="25" fillId="2" borderId="7" xfId="1" applyFont="1" applyFill="1" applyBorder="1" applyAlignment="1">
      <alignment horizontal="center" vertical="center"/>
    </xf>
    <xf numFmtId="169" fontId="25" fillId="2" borderId="6" xfId="1" applyFont="1" applyFill="1" applyBorder="1" applyAlignment="1">
      <alignment horizontal="center" vertical="center"/>
    </xf>
    <xf numFmtId="0" fontId="3" fillId="2" borderId="1" xfId="4" applyFont="1" applyFill="1" applyBorder="1" applyAlignment="1">
      <alignment horizontal="left" vertical="center" wrapText="1"/>
    </xf>
    <xf numFmtId="169" fontId="3" fillId="2" borderId="1" xfId="1" applyFont="1" applyFill="1" applyBorder="1" applyAlignment="1">
      <alignment vertical="center"/>
    </xf>
    <xf numFmtId="0" fontId="2" fillId="2" borderId="22" xfId="4" applyFont="1" applyFill="1" applyBorder="1" applyAlignment="1">
      <alignment horizontal="center" vertical="center"/>
    </xf>
    <xf numFmtId="0" fontId="2" fillId="2" borderId="1" xfId="1" applyNumberFormat="1" applyFont="1" applyFill="1" applyBorder="1" applyAlignment="1">
      <alignment horizontal="center" vertical="center" wrapText="1"/>
    </xf>
    <xf numFmtId="0" fontId="2" fillId="2" borderId="17" xfId="4" applyFont="1" applyFill="1" applyBorder="1" applyAlignment="1">
      <alignment horizontal="center" vertical="center" wrapText="1"/>
    </xf>
    <xf numFmtId="0" fontId="0" fillId="0" borderId="3" xfId="4" applyFont="1" applyBorder="1" applyAlignment="1">
      <alignment vertical="center" wrapText="1"/>
    </xf>
    <xf numFmtId="0" fontId="0" fillId="0" borderId="19" xfId="4" applyFont="1" applyBorder="1" applyAlignment="1">
      <alignment vertical="center" wrapText="1"/>
    </xf>
    <xf numFmtId="0" fontId="0" fillId="0" borderId="2" xfId="4" applyFont="1" applyBorder="1" applyAlignment="1">
      <alignment vertical="center" wrapText="1"/>
    </xf>
    <xf numFmtId="0" fontId="0" fillId="0" borderId="0" xfId="4" applyFont="1" applyAlignment="1">
      <alignment vertical="center" wrapText="1"/>
    </xf>
    <xf numFmtId="0" fontId="0" fillId="0" borderId="20" xfId="4" applyFont="1" applyBorder="1" applyAlignment="1">
      <alignment vertical="center" wrapText="1"/>
    </xf>
    <xf numFmtId="0" fontId="0" fillId="0" borderId="18" xfId="4" applyFont="1" applyBorder="1" applyAlignment="1">
      <alignment vertical="center" wrapText="1"/>
    </xf>
    <xf numFmtId="0" fontId="0" fillId="0" borderId="22" xfId="4" applyFont="1" applyBorder="1" applyAlignment="1">
      <alignment vertical="center" wrapText="1"/>
    </xf>
    <xf numFmtId="0" fontId="0" fillId="0" borderId="21" xfId="4" applyFont="1" applyBorder="1" applyAlignment="1">
      <alignment vertical="center" wrapText="1"/>
    </xf>
    <xf numFmtId="0" fontId="2" fillId="16" borderId="1" xfId="1" applyNumberFormat="1" applyFont="1" applyFill="1" applyBorder="1" applyAlignment="1">
      <alignment horizontal="center" vertical="center" wrapText="1"/>
    </xf>
    <xf numFmtId="0" fontId="2" fillId="26" borderId="1" xfId="1" applyNumberFormat="1" applyFont="1" applyFill="1" applyBorder="1" applyAlignment="1">
      <alignment horizontal="center" vertical="center" wrapText="1"/>
    </xf>
    <xf numFmtId="0" fontId="2" fillId="6" borderId="1" xfId="1" applyNumberFormat="1" applyFont="1" applyFill="1" applyBorder="1" applyAlignment="1">
      <alignment horizontal="center" vertical="center" wrapText="1"/>
    </xf>
    <xf numFmtId="0" fontId="2" fillId="28" borderId="1" xfId="1" applyNumberFormat="1" applyFont="1" applyFill="1" applyBorder="1" applyAlignment="1">
      <alignment horizontal="center" vertical="center" wrapText="1"/>
    </xf>
    <xf numFmtId="169" fontId="26" fillId="2" borderId="4" xfId="1" applyFont="1" applyFill="1" applyBorder="1" applyAlignment="1">
      <alignment horizontal="right" vertical="center"/>
    </xf>
    <xf numFmtId="169" fontId="26" fillId="2" borderId="6" xfId="1" applyFont="1" applyFill="1" applyBorder="1" applyAlignment="1">
      <alignment horizontal="right" vertical="center"/>
    </xf>
    <xf numFmtId="169" fontId="26" fillId="2" borderId="7" xfId="1" applyFont="1" applyFill="1" applyBorder="1" applyAlignment="1">
      <alignment horizontal="right" vertical="center"/>
    </xf>
    <xf numFmtId="169" fontId="25" fillId="2" borderId="1" xfId="1" applyFont="1" applyFill="1" applyBorder="1" applyAlignment="1">
      <alignment horizontal="right" vertical="center"/>
    </xf>
    <xf numFmtId="0" fontId="1" fillId="0" borderId="2" xfId="4" applyFont="1" applyBorder="1" applyAlignment="1">
      <alignment horizontal="center" vertical="center" wrapText="1"/>
    </xf>
    <xf numFmtId="0" fontId="1" fillId="0" borderId="0" xfId="4" applyFont="1" applyBorder="1" applyAlignment="1">
      <alignment horizontal="center" vertical="center" wrapText="1"/>
    </xf>
    <xf numFmtId="169" fontId="1" fillId="5" borderId="1" xfId="1" applyFont="1" applyFill="1" applyBorder="1" applyAlignment="1">
      <alignment horizontal="center" vertical="center" wrapText="1"/>
    </xf>
    <xf numFmtId="0" fontId="3" fillId="0" borderId="1" xfId="4" applyFont="1" applyFill="1" applyBorder="1" applyAlignment="1">
      <alignment horizontal="left" vertical="center"/>
    </xf>
    <xf numFmtId="0" fontId="3" fillId="0" borderId="1" xfId="4" applyFont="1" applyBorder="1" applyAlignment="1">
      <alignment horizontal="left" vertical="center" wrapText="1"/>
    </xf>
    <xf numFmtId="4" fontId="3" fillId="0" borderId="1" xfId="1" applyNumberFormat="1" applyFont="1" applyFill="1" applyBorder="1" applyAlignment="1">
      <alignment horizontal="right" vertical="center"/>
    </xf>
    <xf numFmtId="4" fontId="3" fillId="0" borderId="2" xfId="1" applyNumberFormat="1" applyFont="1" applyFill="1" applyBorder="1" applyAlignment="1">
      <alignment horizontal="right" vertical="center"/>
    </xf>
    <xf numFmtId="4" fontId="3" fillId="0" borderId="6" xfId="1" applyNumberFormat="1" applyFont="1" applyFill="1" applyBorder="1" applyAlignment="1">
      <alignment horizontal="right" vertical="center"/>
    </xf>
    <xf numFmtId="4" fontId="3" fillId="0" borderId="4" xfId="1" applyNumberFormat="1" applyFont="1" applyFill="1" applyBorder="1" applyAlignment="1">
      <alignment horizontal="right" vertical="center"/>
    </xf>
    <xf numFmtId="4" fontId="3" fillId="0" borderId="7" xfId="1" applyNumberFormat="1" applyFont="1" applyFill="1" applyBorder="1" applyAlignment="1">
      <alignment horizontal="right" vertical="center"/>
    </xf>
    <xf numFmtId="4" fontId="3" fillId="0" borderId="2" xfId="4" applyNumberFormat="1" applyFont="1" applyFill="1" applyBorder="1" applyAlignment="1">
      <alignment horizontal="right" vertical="center"/>
    </xf>
    <xf numFmtId="4" fontId="3" fillId="0" borderId="1" xfId="1" applyNumberFormat="1" applyFont="1" applyFill="1" applyBorder="1" applyAlignment="1">
      <alignment horizontal="center" vertical="center"/>
    </xf>
    <xf numFmtId="4" fontId="3" fillId="0" borderId="6" xfId="4" applyNumberFormat="1" applyFont="1" applyFill="1" applyBorder="1" applyAlignment="1">
      <alignment horizontal="right" vertical="center"/>
    </xf>
    <xf numFmtId="4" fontId="3" fillId="0" borderId="1" xfId="1" applyNumberFormat="1" applyFont="1" applyFill="1" applyBorder="1" applyAlignment="1">
      <alignment vertical="center"/>
    </xf>
    <xf numFmtId="0" fontId="15" fillId="0" borderId="17" xfId="4" applyFont="1" applyFill="1" applyBorder="1" applyAlignment="1">
      <alignment horizontal="center" vertical="center" wrapText="1"/>
    </xf>
    <xf numFmtId="0" fontId="15" fillId="0" borderId="3" xfId="4" applyFont="1" applyFill="1" applyBorder="1" applyAlignment="1">
      <alignment horizontal="center" vertical="center" wrapText="1"/>
    </xf>
    <xf numFmtId="0" fontId="15" fillId="0" borderId="19" xfId="4" applyFont="1" applyFill="1" applyBorder="1" applyAlignment="1">
      <alignment horizontal="center" vertical="center" wrapText="1"/>
    </xf>
    <xf numFmtId="0" fontId="1" fillId="0" borderId="18" xfId="4" applyFont="1" applyFill="1" applyBorder="1" applyAlignment="1">
      <alignment horizontal="center" vertical="center" wrapText="1"/>
    </xf>
    <xf numFmtId="0" fontId="1" fillId="0" borderId="22" xfId="4" applyFont="1" applyFill="1" applyBorder="1" applyAlignment="1">
      <alignment horizontal="center" vertical="center" wrapText="1"/>
    </xf>
    <xf numFmtId="0" fontId="1" fillId="0" borderId="21" xfId="4" applyFont="1" applyFill="1" applyBorder="1" applyAlignment="1">
      <alignment horizontal="center" vertical="center" wrapText="1"/>
    </xf>
    <xf numFmtId="0" fontId="2" fillId="8" borderId="8" xfId="1" applyNumberFormat="1" applyFont="1" applyFill="1" applyBorder="1" applyAlignment="1">
      <alignment horizontal="center" vertical="center"/>
    </xf>
    <xf numFmtId="0" fontId="2" fillId="8" borderId="16" xfId="1" applyNumberFormat="1" applyFont="1" applyFill="1" applyBorder="1" applyAlignment="1">
      <alignment horizontal="center" vertical="center"/>
    </xf>
    <xf numFmtId="0" fontId="2" fillId="8" borderId="5" xfId="1" applyNumberFormat="1" applyFont="1" applyFill="1" applyBorder="1" applyAlignment="1">
      <alignment horizontal="center" vertical="center"/>
    </xf>
    <xf numFmtId="4" fontId="2" fillId="8" borderId="8" xfId="1" applyNumberFormat="1" applyFont="1" applyFill="1" applyBorder="1" applyAlignment="1">
      <alignment horizontal="center" vertical="center"/>
    </xf>
    <xf numFmtId="4" fontId="2" fillId="8" borderId="16" xfId="1" applyNumberFormat="1" applyFont="1" applyFill="1" applyBorder="1" applyAlignment="1">
      <alignment horizontal="center" vertical="center"/>
    </xf>
    <xf numFmtId="4" fontId="2" fillId="8" borderId="5" xfId="1" applyNumberFormat="1" applyFont="1" applyFill="1" applyBorder="1" applyAlignment="1">
      <alignment horizontal="center" vertical="center"/>
    </xf>
    <xf numFmtId="0" fontId="2" fillId="8" borderId="1" xfId="4" applyFont="1" applyFill="1" applyBorder="1" applyAlignment="1">
      <alignment horizontal="center" vertical="center" wrapText="1"/>
    </xf>
    <xf numFmtId="0" fontId="2" fillId="2" borderId="7" xfId="4" applyFont="1" applyFill="1" applyBorder="1" applyAlignment="1">
      <alignment horizontal="center" vertical="center" wrapText="1"/>
    </xf>
    <xf numFmtId="4" fontId="3" fillId="2" borderId="1" xfId="1" applyNumberFormat="1" applyFont="1" applyFill="1" applyBorder="1" applyAlignment="1">
      <alignment horizontal="right" vertical="center"/>
    </xf>
    <xf numFmtId="0" fontId="45" fillId="22" borderId="1" xfId="4" applyFont="1" applyFill="1" applyBorder="1" applyAlignment="1">
      <alignment horizontal="center" vertical="center" wrapText="1"/>
    </xf>
    <xf numFmtId="0" fontId="45" fillId="22" borderId="8" xfId="4" applyFont="1" applyFill="1" applyBorder="1" applyAlignment="1">
      <alignment horizontal="left" vertical="center" wrapText="1"/>
    </xf>
    <xf numFmtId="0" fontId="45" fillId="22" borderId="16" xfId="4" applyFont="1" applyFill="1" applyBorder="1" applyAlignment="1">
      <alignment horizontal="left" vertical="center" wrapText="1"/>
    </xf>
    <xf numFmtId="0" fontId="45" fillId="22" borderId="5" xfId="4" applyFont="1" applyFill="1" applyBorder="1" applyAlignment="1">
      <alignment horizontal="left" vertical="center" wrapText="1"/>
    </xf>
    <xf numFmtId="0" fontId="47" fillId="0" borderId="1" xfId="4" applyFont="1" applyFill="1" applyBorder="1" applyAlignment="1">
      <alignment horizontal="center" vertical="center" wrapText="1"/>
    </xf>
    <xf numFmtId="0" fontId="47" fillId="0" borderId="1" xfId="4" applyFont="1" applyBorder="1" applyAlignment="1">
      <alignment horizontal="justify" vertical="center" wrapText="1"/>
    </xf>
  </cellXfs>
  <cellStyles count="16">
    <cellStyle name="Bold text" xfId="5"/>
    <cellStyle name="Col header" xfId="9"/>
    <cellStyle name="Date" xfId="10"/>
    <cellStyle name="Date &amp; time" xfId="12"/>
    <cellStyle name="Millares" xfId="1" builtinId="3"/>
    <cellStyle name="Millares [0]" xfId="2" builtinId="6"/>
    <cellStyle name="Millares 2" xfId="1"/>
    <cellStyle name="Moneda [0]" xfId="14" builtinId="7"/>
    <cellStyle name="Money" xfId="7"/>
    <cellStyle name="Normal" xfId="0" builtinId="0"/>
    <cellStyle name="Normal 2" xfId="13"/>
    <cellStyle name="Normal 3" xfId="3"/>
    <cellStyle name="Number" xfId="6"/>
    <cellStyle name="Percentage" xfId="8"/>
    <cellStyle name="Text" xfId="4"/>
    <cellStyle name="Time"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FCE4A"/>
      <color rgb="FFCCCCFF"/>
      <color rgb="FFCC99FF"/>
      <color rgb="FFFF99FF"/>
      <color rgb="FF2F76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29</xdr:col>
      <xdr:colOff>336177</xdr:colOff>
      <xdr:row>0</xdr:row>
      <xdr:rowOff>806262</xdr:rowOff>
    </xdr:to>
    <xdr:grpSp>
      <xdr:nvGrpSpPr>
        <xdr:cNvPr id="8" name="1 Grupo"/>
        <xdr:cNvGrpSpPr>
          <a:grpSpLocks/>
        </xdr:cNvGrpSpPr>
      </xdr:nvGrpSpPr>
      <xdr:grpSpPr bwMode="auto">
        <a:xfrm>
          <a:off x="0" y="1"/>
          <a:ext cx="4717677" cy="806261"/>
          <a:chOff x="57151" y="47625"/>
          <a:chExt cx="7981412" cy="1013935"/>
        </a:xfrm>
      </xdr:grpSpPr>
      <xdr:pic>
        <xdr:nvPicPr>
          <xdr:cNvPr id="9"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57151" y="47625"/>
            <a:ext cx="1409444" cy="975702"/>
          </a:xfrm>
          <a:prstGeom prst="rect">
            <a:avLst/>
          </a:prstGeom>
          <a:noFill/>
          <a:ln w="9525">
            <a:noFill/>
            <a:miter lim="800000"/>
            <a:headEnd/>
            <a:tailEnd/>
          </a:ln>
        </xdr:spPr>
      </xdr:pic>
      <xdr:sp macro="" textlink="">
        <xdr:nvSpPr>
          <xdr:cNvPr id="10" name="9 CuadroTexto"/>
          <xdr:cNvSpPr txBox="1"/>
        </xdr:nvSpPr>
        <xdr:spPr>
          <a:xfrm>
            <a:off x="1896074" y="91309"/>
            <a:ext cx="6142489" cy="970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 </a:t>
            </a:r>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theme/theme1.xml><?xml version="1.0" encoding="utf-8"?>
<a:theme xmlns:a="http://schemas.openxmlformats.org/drawingml/2006/main" name="Tema de Office">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a:lstStyle/>
      <a:style>
        <a:lnRef idx="1">
          <a:schemeClr val="accent1"/>
        </a:lnRef>
        <a:fillRef idx="1">
          <a:schemeClr val="accent1"/>
        </a:fillRef>
        <a:effectRef idx="1">
          <a:schemeClr val="accent1"/>
        </a:effectRef>
        <a:fontRef idx="minor">
          <a:schemeClr val="lt1"/>
        </a:fontRef>
      </a:style>
    </a:spDef>
    <a:lnDef>
      <a:spPr/>
      <a:bodyPr/>
      <a:lstStyle/>
      <a:style>
        <a:lnRef idx="1">
          <a:schemeClr val="accent1"/>
        </a:lnRef>
        <a:fillRef idx="0">
          <a:schemeClr val="accent1"/>
        </a:fillRef>
        <a:effectRef idx="1">
          <a:schemeClr val="accent1"/>
        </a:effectRef>
        <a:fontRef idx="minor">
          <a:schemeClr val="tx1"/>
        </a:fontRef>
      </a:style>
    </a:lnDef>
    <a:txDef>
      <a:spPr/>
      <a:body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I585"/>
  <sheetViews>
    <sheetView tabSelected="1" topLeftCell="E1" zoomScale="85" zoomScaleNormal="85" zoomScaleSheetLayoutView="85" workbookViewId="0">
      <pane xSplit="17" ySplit="5" topLeftCell="V181" activePane="bottomRight" state="frozen"/>
      <selection activeCell="J4" sqref="J4"/>
      <selection pane="topRight" activeCell="V4" sqref="V4"/>
      <selection pane="bottomLeft" activeCell="J6" sqref="J6"/>
      <selection pane="bottomRight" activeCell="AB182" sqref="AB182"/>
    </sheetView>
  </sheetViews>
  <sheetFormatPr baseColWidth="10" defaultColWidth="11.42578125" defaultRowHeight="12.75" x14ac:dyDescent="0.2"/>
  <cols>
    <col min="1" max="1" width="38" style="13" hidden="1" customWidth="1"/>
    <col min="2" max="2" width="2.28515625" style="3" hidden="1" customWidth="1"/>
    <col min="3" max="3" width="19.7109375" style="3" hidden="1" customWidth="1"/>
    <col min="4" max="4" width="21" style="3" hidden="1" customWidth="1"/>
    <col min="5" max="5" width="16.28515625" style="3" hidden="1" customWidth="1"/>
    <col min="6" max="6" width="11.140625" style="3" hidden="1" customWidth="1"/>
    <col min="7" max="7" width="10.5703125" style="3" hidden="1" customWidth="1"/>
    <col min="8" max="8" width="12" style="3" hidden="1" customWidth="1"/>
    <col min="9" max="9" width="7.85546875" style="3" hidden="1" customWidth="1"/>
    <col min="10" max="10" width="16.28515625" style="13" customWidth="1"/>
    <col min="11" max="11" width="19.140625" style="13" hidden="1" customWidth="1"/>
    <col min="12" max="12" width="12.140625" style="13" hidden="1" customWidth="1"/>
    <col min="13" max="13" width="12" style="13" hidden="1" customWidth="1"/>
    <col min="14" max="14" width="11.28515625" style="13" hidden="1" customWidth="1"/>
    <col min="15" max="15" width="19.42578125" style="13" hidden="1" customWidth="1"/>
    <col min="16" max="16" width="10.140625" style="13" customWidth="1"/>
    <col min="17" max="17" width="10.7109375" style="12" hidden="1" customWidth="1"/>
    <col min="18" max="18" width="11" style="12" hidden="1" customWidth="1"/>
    <col min="19" max="19" width="9.7109375" style="12" hidden="1" customWidth="1"/>
    <col min="20" max="20" width="10" style="12" hidden="1" customWidth="1"/>
    <col min="21" max="21" width="13.85546875" style="37" customWidth="1"/>
    <col min="22" max="22" width="9.140625" style="124" customWidth="1"/>
    <col min="23" max="23" width="7.42578125" style="805" hidden="1" customWidth="1"/>
    <col min="24" max="24" width="8.7109375" style="805" hidden="1" customWidth="1"/>
    <col min="25" max="25" width="7.85546875" style="805" hidden="1" customWidth="1"/>
    <col min="26" max="26" width="21.5703125" style="887" hidden="1" customWidth="1"/>
    <col min="27" max="27" width="11.5703125" style="812" hidden="1" customWidth="1"/>
    <col min="28" max="28" width="7.140625" style="12" customWidth="1"/>
    <col min="29" max="29" width="9.28515625" style="812" customWidth="1"/>
    <col min="30" max="30" width="9" style="906" customWidth="1"/>
    <col min="31" max="31" width="24.140625" style="812" customWidth="1"/>
    <col min="32" max="32" width="12.5703125" style="812" customWidth="1"/>
    <col min="33" max="33" width="5.7109375" style="12" hidden="1" customWidth="1"/>
    <col min="34" max="34" width="9.28515625" style="12" hidden="1" customWidth="1"/>
    <col min="35" max="35" width="10" style="12" customWidth="1"/>
    <col min="36" max="36" width="8.7109375" style="906" customWidth="1"/>
    <col min="37" max="37" width="8.140625" style="12" bestFit="1" customWidth="1"/>
    <col min="38" max="38" width="9" style="893" hidden="1" customWidth="1"/>
    <col min="39" max="39" width="6.85546875" style="900" customWidth="1"/>
    <col min="40" max="40" width="16.42578125" style="124" customWidth="1"/>
    <col min="41" max="41" width="22.7109375" style="3" hidden="1" customWidth="1"/>
    <col min="42" max="42" width="17.28515625" style="3" hidden="1" customWidth="1"/>
    <col min="43" max="43" width="20.28515625" style="3" hidden="1" customWidth="1"/>
    <col min="44" max="45" width="18.140625" style="406" hidden="1" customWidth="1"/>
    <col min="46" max="46" width="19.42578125" style="406" hidden="1" customWidth="1"/>
    <col min="47" max="47" width="20.42578125" style="716" hidden="1" customWidth="1"/>
    <col min="48" max="48" width="19" style="716" hidden="1" customWidth="1"/>
    <col min="49" max="49" width="17" style="716" hidden="1" customWidth="1"/>
    <col min="50" max="50" width="18.7109375" style="783" hidden="1" customWidth="1"/>
    <col min="51" max="51" width="14.42578125" style="406" hidden="1" customWidth="1"/>
    <col min="52" max="52" width="20.85546875" style="3" hidden="1" customWidth="1"/>
    <col min="53" max="53" width="18.140625" style="3" hidden="1" customWidth="1"/>
    <col min="54" max="54" width="21.42578125" style="3" hidden="1" customWidth="1"/>
    <col min="55" max="55" width="15.140625" style="3" hidden="1" customWidth="1"/>
    <col min="56" max="56" width="20" style="3" hidden="1" customWidth="1"/>
    <col min="57" max="58" width="15.140625" style="3" hidden="1" customWidth="1"/>
    <col min="59" max="59" width="19.42578125" style="3" customWidth="1"/>
    <col min="60" max="60" width="17.85546875" style="3" customWidth="1"/>
    <col min="61" max="61" width="15.140625" style="3" customWidth="1"/>
    <col min="62" max="62" width="18.28515625" style="3" customWidth="1"/>
    <col min="63" max="63" width="15.140625" style="3" customWidth="1"/>
    <col min="64" max="64" width="16.7109375" style="3" customWidth="1"/>
    <col min="65" max="65" width="15.140625" style="3" customWidth="1"/>
    <col min="66" max="66" width="22.28515625" style="3" hidden="1" customWidth="1"/>
    <col min="67" max="67" width="18.85546875" style="3" hidden="1" customWidth="1"/>
    <col min="68" max="68" width="18.7109375" style="3" hidden="1" customWidth="1"/>
    <col min="69" max="69" width="19.7109375" style="3" hidden="1" customWidth="1"/>
    <col min="70" max="70" width="22.42578125" style="3" hidden="1" customWidth="1"/>
    <col min="71" max="71" width="18.7109375" style="3" hidden="1" customWidth="1"/>
    <col min="72" max="72" width="20" style="3" hidden="1" customWidth="1"/>
    <col min="73" max="73" width="19.7109375" style="3" hidden="1" customWidth="1"/>
    <col min="74" max="74" width="22" style="3" hidden="1" customWidth="1"/>
    <col min="75" max="75" width="20.85546875" style="3" hidden="1" customWidth="1"/>
    <col min="76" max="76" width="19.85546875" style="3" hidden="1" customWidth="1"/>
    <col min="77" max="77" width="24.28515625" style="3" hidden="1" customWidth="1"/>
    <col min="78" max="78" width="21.28515625" style="912" customWidth="1"/>
    <col min="79" max="79" width="24.85546875" style="912" customWidth="1"/>
    <col min="80" max="80" width="22.85546875" style="3" customWidth="1"/>
    <col min="81" max="81" width="17.85546875" style="418" hidden="1" customWidth="1"/>
    <col min="82" max="82" width="17.85546875" style="418" customWidth="1"/>
    <col min="83" max="83" width="9.140625" style="3" hidden="1" customWidth="1"/>
    <col min="84" max="84" width="20.28515625" style="193" hidden="1" customWidth="1"/>
    <col min="85" max="85" width="20.28515625" style="118" hidden="1" customWidth="1"/>
    <col min="86" max="86" width="13.28515625" style="3" hidden="1" customWidth="1"/>
    <col min="87" max="89" width="11.42578125" style="3" hidden="1" customWidth="1"/>
    <col min="90" max="90" width="18" style="64" hidden="1" customWidth="1"/>
    <col min="91" max="91" width="13.140625" style="3" hidden="1" customWidth="1"/>
    <col min="92" max="92" width="14.28515625" style="3" hidden="1" customWidth="1"/>
    <col min="93" max="102" width="11.42578125" style="3" hidden="1" customWidth="1"/>
    <col min="103" max="103" width="14" style="1007" hidden="1" customWidth="1"/>
    <col min="104" max="104" width="16" style="3" hidden="1" customWidth="1"/>
    <col min="105" max="105" width="17.85546875" style="3" hidden="1" customWidth="1"/>
    <col min="106" max="111" width="0" style="3" hidden="1" customWidth="1"/>
    <col min="112" max="269" width="11.42578125" style="3"/>
  </cols>
  <sheetData>
    <row r="1" spans="1:105" ht="66" customHeight="1" x14ac:dyDescent="0.2">
      <c r="E1" s="513"/>
      <c r="F1" s="514"/>
      <c r="G1" s="514"/>
      <c r="H1" s="514"/>
      <c r="I1" s="514"/>
      <c r="J1" s="514"/>
      <c r="K1" s="514"/>
      <c r="L1" s="514"/>
      <c r="M1" s="514"/>
      <c r="N1" s="514"/>
      <c r="O1" s="514"/>
      <c r="P1" s="514"/>
      <c r="Q1" s="514"/>
      <c r="R1" s="514"/>
      <c r="S1" s="514"/>
      <c r="T1" s="514"/>
      <c r="U1" s="514"/>
      <c r="V1" s="514"/>
      <c r="W1" s="803"/>
      <c r="X1" s="803"/>
      <c r="Y1" s="803"/>
      <c r="Z1" s="809"/>
      <c r="AA1" s="809"/>
      <c r="AB1" s="514"/>
      <c r="AC1" s="514"/>
      <c r="AD1" s="514"/>
      <c r="AE1" s="514"/>
      <c r="AF1" s="514"/>
      <c r="AG1" s="514"/>
      <c r="AH1" s="514"/>
      <c r="AI1" s="514"/>
      <c r="AJ1" s="514"/>
      <c r="AK1" s="514"/>
      <c r="AL1" s="514"/>
      <c r="AM1" s="514"/>
      <c r="AN1" s="514"/>
      <c r="AO1" s="514"/>
      <c r="AP1" s="514"/>
      <c r="AQ1" s="514"/>
      <c r="AR1" s="514"/>
      <c r="AS1" s="514"/>
      <c r="AT1" s="514"/>
      <c r="AU1" s="703"/>
      <c r="AV1" s="703"/>
      <c r="AW1" s="703"/>
      <c r="AX1" s="703"/>
      <c r="AY1" s="514"/>
      <c r="AZ1" s="514"/>
      <c r="BA1" s="514"/>
      <c r="BB1" s="514"/>
      <c r="BC1" s="514"/>
      <c r="BD1" s="514"/>
      <c r="BE1" s="514"/>
      <c r="BF1" s="514"/>
      <c r="BG1" s="514"/>
      <c r="BH1" s="514"/>
      <c r="BI1" s="514"/>
      <c r="BJ1" s="514"/>
      <c r="BK1" s="514"/>
      <c r="BL1" s="514"/>
      <c r="BM1" s="514"/>
      <c r="BN1" s="514"/>
      <c r="BO1" s="514"/>
      <c r="BP1" s="514"/>
      <c r="BQ1" s="514"/>
      <c r="BR1" s="514"/>
      <c r="BS1" s="514"/>
      <c r="BT1" s="514"/>
      <c r="BU1" s="514"/>
      <c r="BV1" s="514"/>
      <c r="BW1" s="514"/>
      <c r="BX1" s="514"/>
      <c r="BY1" s="514"/>
      <c r="BZ1" s="703"/>
      <c r="CA1" s="703"/>
      <c r="CB1" s="514"/>
      <c r="CC1" s="515"/>
      <c r="CD1" s="1084"/>
    </row>
    <row r="2" spans="1:105" ht="53.25" customHeight="1" x14ac:dyDescent="0.2">
      <c r="E2" s="1705" t="s">
        <v>1353</v>
      </c>
      <c r="F2" s="1705"/>
      <c r="G2" s="1705"/>
      <c r="H2" s="1705"/>
      <c r="I2" s="1705"/>
      <c r="J2" s="1705"/>
      <c r="K2" s="1705"/>
      <c r="L2" s="1705"/>
      <c r="M2" s="1705"/>
      <c r="N2" s="1705"/>
      <c r="O2" s="1705"/>
      <c r="P2" s="1705"/>
      <c r="Q2" s="1705"/>
      <c r="R2" s="1705"/>
      <c r="S2" s="1705"/>
      <c r="T2" s="1705"/>
      <c r="U2" s="1705"/>
      <c r="V2" s="1705"/>
      <c r="W2" s="1705"/>
      <c r="X2" s="1705"/>
      <c r="Y2" s="1705"/>
      <c r="Z2" s="1705"/>
      <c r="AA2" s="1705"/>
      <c r="AB2" s="1705"/>
      <c r="AC2" s="1705"/>
      <c r="AD2" s="1705"/>
      <c r="AE2" s="1705"/>
      <c r="AF2" s="1705"/>
      <c r="AG2" s="1705"/>
      <c r="AH2" s="1705"/>
      <c r="AI2" s="1705"/>
      <c r="AJ2" s="1705"/>
      <c r="AK2" s="1705"/>
      <c r="AL2" s="1705"/>
      <c r="AM2" s="1705"/>
      <c r="AN2" s="1705"/>
      <c r="AO2" s="1705"/>
      <c r="AP2" s="1705"/>
      <c r="AQ2" s="1705"/>
      <c r="AR2" s="1705"/>
      <c r="AS2" s="1705"/>
      <c r="AT2" s="1705"/>
      <c r="AU2" s="1705"/>
      <c r="AV2" s="1705"/>
      <c r="AW2" s="1705"/>
      <c r="AX2" s="1705"/>
      <c r="AY2" s="1705"/>
      <c r="AZ2" s="1705"/>
      <c r="BA2" s="1705"/>
      <c r="BB2" s="1705"/>
      <c r="BC2" s="1705"/>
      <c r="BD2" s="1705"/>
      <c r="BE2" s="1705"/>
      <c r="BF2" s="1705"/>
      <c r="BG2" s="1705"/>
      <c r="BH2" s="1705"/>
      <c r="BI2" s="1705"/>
      <c r="BJ2" s="1705"/>
      <c r="BK2" s="1705"/>
      <c r="BL2" s="1705"/>
      <c r="BM2" s="1705"/>
      <c r="BN2" s="1705"/>
      <c r="BO2" s="1705"/>
      <c r="BP2" s="1705"/>
      <c r="BQ2" s="1705"/>
      <c r="BR2" s="1705"/>
      <c r="BS2" s="1705"/>
      <c r="BT2" s="1705"/>
      <c r="BU2" s="1705"/>
      <c r="BV2" s="1705"/>
      <c r="BW2" s="1705"/>
      <c r="BX2" s="1705"/>
      <c r="BY2" s="1705"/>
      <c r="BZ2" s="1705"/>
      <c r="CA2" s="1705"/>
      <c r="CB2" s="1705"/>
      <c r="CC2" s="1705"/>
      <c r="CD2" s="1085"/>
    </row>
    <row r="3" spans="1:105" ht="15.75" x14ac:dyDescent="0.2">
      <c r="C3" s="7" t="s">
        <v>616</v>
      </c>
      <c r="E3" s="1706" t="s">
        <v>1333</v>
      </c>
      <c r="F3" s="1706"/>
      <c r="G3" s="1706"/>
      <c r="H3" s="1706"/>
      <c r="I3" s="1706"/>
      <c r="J3" s="1706"/>
      <c r="K3" s="1706"/>
      <c r="L3" s="1706"/>
      <c r="M3" s="1706"/>
      <c r="N3" s="1706"/>
      <c r="O3" s="1706"/>
      <c r="P3" s="1706"/>
      <c r="Q3" s="1706"/>
      <c r="R3" s="1706"/>
      <c r="S3" s="1706"/>
      <c r="T3" s="1706"/>
      <c r="U3" s="1706"/>
      <c r="V3" s="1706"/>
      <c r="W3" s="1706"/>
      <c r="X3" s="1706"/>
      <c r="Y3" s="1706"/>
      <c r="Z3" s="1706"/>
      <c r="AA3" s="1706"/>
      <c r="AB3" s="1706"/>
      <c r="AC3" s="1706"/>
      <c r="AD3" s="1706"/>
      <c r="AE3" s="1706"/>
      <c r="AF3" s="1706"/>
      <c r="AG3" s="1706"/>
      <c r="AH3" s="1706"/>
      <c r="AI3" s="1706"/>
      <c r="AJ3" s="1706"/>
      <c r="AK3" s="1706"/>
      <c r="AL3" s="1706"/>
      <c r="AM3" s="1706"/>
      <c r="AN3" s="1706"/>
      <c r="AO3" s="1706"/>
      <c r="AP3" s="1706"/>
      <c r="AQ3" s="1706"/>
      <c r="AR3" s="1706"/>
      <c r="AS3" s="1706"/>
      <c r="AT3" s="1706"/>
      <c r="AU3" s="1706"/>
      <c r="AV3" s="1706"/>
      <c r="AW3" s="1706"/>
      <c r="AX3" s="1706"/>
      <c r="AY3" s="1706"/>
      <c r="AZ3" s="1706"/>
      <c r="BA3" s="1706"/>
      <c r="BB3" s="1706"/>
      <c r="BC3" s="1706"/>
      <c r="BD3" s="1706"/>
      <c r="BE3" s="1706"/>
      <c r="BF3" s="1706"/>
      <c r="BG3" s="1706"/>
      <c r="BH3" s="1706"/>
      <c r="BI3" s="1706"/>
      <c r="BJ3" s="1706"/>
      <c r="BK3" s="1706"/>
      <c r="BL3" s="1706"/>
      <c r="BM3" s="1706"/>
      <c r="BN3" s="1706"/>
      <c r="BO3" s="1706"/>
      <c r="BP3" s="1706"/>
      <c r="BQ3" s="1706"/>
      <c r="BR3" s="1706"/>
      <c r="BS3" s="1706"/>
      <c r="BT3" s="1706"/>
      <c r="BU3" s="1706"/>
      <c r="BV3" s="1706"/>
      <c r="BW3" s="1706"/>
      <c r="BX3" s="1706"/>
      <c r="BY3" s="1706"/>
      <c r="BZ3" s="1706"/>
      <c r="CA3" s="1706"/>
      <c r="CB3" s="1706"/>
      <c r="CC3" s="1706"/>
      <c r="CD3" s="1085"/>
    </row>
    <row r="4" spans="1:105" s="1" customFormat="1" ht="14.45" customHeight="1" x14ac:dyDescent="0.2">
      <c r="A4" s="1483" t="s">
        <v>408</v>
      </c>
      <c r="C4" s="1695" t="s">
        <v>8</v>
      </c>
      <c r="D4" s="1695" t="s">
        <v>9</v>
      </c>
      <c r="E4" s="1695" t="s">
        <v>10</v>
      </c>
      <c r="F4" s="1695" t="s">
        <v>16</v>
      </c>
      <c r="G4" s="1695"/>
      <c r="H4" s="1695"/>
      <c r="I4" s="1695"/>
      <c r="J4" s="1696" t="s">
        <v>4</v>
      </c>
      <c r="K4" s="1696" t="s">
        <v>124</v>
      </c>
      <c r="L4" s="1698" t="s">
        <v>15</v>
      </c>
      <c r="M4" s="1707"/>
      <c r="N4" s="1707"/>
      <c r="O4" s="1707"/>
      <c r="P4" s="1698" t="s">
        <v>708</v>
      </c>
      <c r="Q4" s="1698" t="s">
        <v>804</v>
      </c>
      <c r="R4" s="1708"/>
      <c r="S4" s="1708"/>
      <c r="T4" s="1708"/>
      <c r="U4" s="1698" t="s">
        <v>6</v>
      </c>
      <c r="V4" s="1698" t="s">
        <v>985</v>
      </c>
      <c r="W4" s="1698" t="s">
        <v>913</v>
      </c>
      <c r="X4" s="1699" t="s">
        <v>874</v>
      </c>
      <c r="Y4" s="1700" t="s">
        <v>875</v>
      </c>
      <c r="Z4" s="1696" t="s">
        <v>876</v>
      </c>
      <c r="AA4" s="1702" t="s">
        <v>877</v>
      </c>
      <c r="AB4" s="1698" t="s">
        <v>1</v>
      </c>
      <c r="AC4" s="1698" t="s">
        <v>874</v>
      </c>
      <c r="AD4" s="1696" t="s">
        <v>1344</v>
      </c>
      <c r="AE4" s="1696" t="s">
        <v>876</v>
      </c>
      <c r="AF4" s="1702" t="s">
        <v>1200</v>
      </c>
      <c r="AG4" s="1698" t="s">
        <v>2</v>
      </c>
      <c r="AH4" s="1698" t="s">
        <v>3</v>
      </c>
      <c r="AI4" s="1702" t="s">
        <v>878</v>
      </c>
      <c r="AJ4" s="1696" t="s">
        <v>879</v>
      </c>
      <c r="AK4" s="1696" t="s">
        <v>880</v>
      </c>
      <c r="AL4" s="1696" t="s">
        <v>1143</v>
      </c>
      <c r="AM4" s="1696" t="s">
        <v>1144</v>
      </c>
      <c r="AN4" s="1696" t="s">
        <v>684</v>
      </c>
      <c r="AO4" s="1709" t="s">
        <v>991</v>
      </c>
      <c r="AP4" s="1710"/>
      <c r="AQ4" s="1711"/>
      <c r="AR4" s="1712" t="s">
        <v>990</v>
      </c>
      <c r="AS4" s="1713"/>
      <c r="AT4" s="1714"/>
      <c r="AU4" s="1715">
        <v>2016</v>
      </c>
      <c r="AV4" s="1716"/>
      <c r="AW4" s="1717"/>
      <c r="AX4" s="1712">
        <v>2016</v>
      </c>
      <c r="AY4" s="1713"/>
      <c r="AZ4" s="1714"/>
      <c r="BA4" s="510"/>
      <c r="BB4" s="1709">
        <v>2016</v>
      </c>
      <c r="BC4" s="1711"/>
      <c r="BD4" s="1720" t="s">
        <v>1162</v>
      </c>
      <c r="BE4" s="1721"/>
      <c r="BF4" s="1721"/>
      <c r="BG4" s="1721"/>
      <c r="BH4" s="1721"/>
      <c r="BI4" s="1721"/>
      <c r="BJ4" s="1721"/>
      <c r="BK4" s="1721"/>
      <c r="BL4" s="1721"/>
      <c r="BM4" s="1722"/>
      <c r="BN4" s="1709">
        <v>2017</v>
      </c>
      <c r="BO4" s="1710"/>
      <c r="BP4" s="1710"/>
      <c r="BQ4" s="1711"/>
      <c r="BR4" s="1709">
        <v>2018</v>
      </c>
      <c r="BS4" s="1710"/>
      <c r="BT4" s="1710"/>
      <c r="BU4" s="1711"/>
      <c r="BV4" s="1709">
        <v>2019</v>
      </c>
      <c r="BW4" s="1710"/>
      <c r="BX4" s="1710"/>
      <c r="BY4" s="1711"/>
      <c r="BZ4" s="1718" t="s">
        <v>997</v>
      </c>
      <c r="CA4" s="1718" t="s">
        <v>998</v>
      </c>
      <c r="CB4" s="1718" t="s">
        <v>999</v>
      </c>
      <c r="CC4" s="1719" t="s">
        <v>1159</v>
      </c>
      <c r="CD4" s="1719" t="s">
        <v>1160</v>
      </c>
      <c r="CE4" s="331"/>
      <c r="CF4" s="244" t="s">
        <v>488</v>
      </c>
      <c r="CG4" s="405" t="s">
        <v>873</v>
      </c>
      <c r="CL4" s="654"/>
      <c r="CY4" s="1008"/>
      <c r="DA4" s="1066"/>
    </row>
    <row r="5" spans="1:105" s="1" customFormat="1" ht="51" customHeight="1" x14ac:dyDescent="0.2">
      <c r="A5" s="1483"/>
      <c r="C5" s="1695"/>
      <c r="D5" s="1695"/>
      <c r="E5" s="1695"/>
      <c r="F5" s="511">
        <v>2016</v>
      </c>
      <c r="G5" s="511">
        <v>2017</v>
      </c>
      <c r="H5" s="511">
        <v>2018</v>
      </c>
      <c r="I5" s="511">
        <v>2019</v>
      </c>
      <c r="J5" s="1697"/>
      <c r="K5" s="1697"/>
      <c r="L5" s="1143">
        <v>2016</v>
      </c>
      <c r="M5" s="1143">
        <v>2017</v>
      </c>
      <c r="N5" s="1143">
        <v>2018</v>
      </c>
      <c r="O5" s="1143">
        <v>2019</v>
      </c>
      <c r="P5" s="1698"/>
      <c r="Q5" s="1143">
        <v>2016</v>
      </c>
      <c r="R5" s="1143">
        <v>2017</v>
      </c>
      <c r="S5" s="1143">
        <v>2018</v>
      </c>
      <c r="T5" s="1143">
        <v>2019</v>
      </c>
      <c r="U5" s="1698"/>
      <c r="V5" s="1698"/>
      <c r="W5" s="1698"/>
      <c r="X5" s="1699"/>
      <c r="Y5" s="1701"/>
      <c r="Z5" s="1697"/>
      <c r="AA5" s="1703"/>
      <c r="AB5" s="1698"/>
      <c r="AC5" s="1698"/>
      <c r="AD5" s="1697"/>
      <c r="AE5" s="1697"/>
      <c r="AF5" s="1703"/>
      <c r="AG5" s="1698"/>
      <c r="AH5" s="1698"/>
      <c r="AI5" s="1703"/>
      <c r="AJ5" s="1697"/>
      <c r="AK5" s="1697"/>
      <c r="AL5" s="1697"/>
      <c r="AM5" s="1697"/>
      <c r="AN5" s="1697"/>
      <c r="AO5" s="510" t="s">
        <v>886</v>
      </c>
      <c r="AP5" s="510" t="s">
        <v>887</v>
      </c>
      <c r="AQ5" s="510" t="s">
        <v>888</v>
      </c>
      <c r="AR5" s="512" t="s">
        <v>14</v>
      </c>
      <c r="AS5" s="512" t="s">
        <v>13</v>
      </c>
      <c r="AT5" s="512" t="s">
        <v>881</v>
      </c>
      <c r="AU5" s="721" t="s">
        <v>993</v>
      </c>
      <c r="AV5" s="721" t="s">
        <v>992</v>
      </c>
      <c r="AW5" s="743" t="s">
        <v>994</v>
      </c>
      <c r="AX5" s="772" t="s">
        <v>995</v>
      </c>
      <c r="AY5" s="512" t="s">
        <v>996</v>
      </c>
      <c r="AZ5" s="510" t="s">
        <v>884</v>
      </c>
      <c r="BA5" s="510" t="s">
        <v>885</v>
      </c>
      <c r="BB5" s="510" t="s">
        <v>882</v>
      </c>
      <c r="BC5" s="510" t="s">
        <v>883</v>
      </c>
      <c r="BD5" s="1368" t="s">
        <v>1156</v>
      </c>
      <c r="BE5" s="1368" t="s">
        <v>1157</v>
      </c>
      <c r="BF5" s="1368" t="s">
        <v>1158</v>
      </c>
      <c r="BG5" s="1368" t="s">
        <v>994</v>
      </c>
      <c r="BH5" s="1368" t="s">
        <v>995</v>
      </c>
      <c r="BI5" s="1368" t="s">
        <v>996</v>
      </c>
      <c r="BJ5" s="1369" t="s">
        <v>884</v>
      </c>
      <c r="BK5" s="1369" t="s">
        <v>885</v>
      </c>
      <c r="BL5" s="1369" t="s">
        <v>882</v>
      </c>
      <c r="BM5" s="1369" t="s">
        <v>883</v>
      </c>
      <c r="BN5" s="510" t="s">
        <v>14</v>
      </c>
      <c r="BO5" s="510" t="s">
        <v>13</v>
      </c>
      <c r="BP5" s="510" t="s">
        <v>5</v>
      </c>
      <c r="BQ5" s="510" t="s">
        <v>17</v>
      </c>
      <c r="BR5" s="510" t="s">
        <v>14</v>
      </c>
      <c r="BS5" s="510" t="s">
        <v>13</v>
      </c>
      <c r="BT5" s="510" t="s">
        <v>5</v>
      </c>
      <c r="BU5" s="510" t="s">
        <v>17</v>
      </c>
      <c r="BV5" s="510" t="s">
        <v>14</v>
      </c>
      <c r="BW5" s="510" t="s">
        <v>13</v>
      </c>
      <c r="BX5" s="510" t="s">
        <v>5</v>
      </c>
      <c r="BY5" s="510" t="s">
        <v>17</v>
      </c>
      <c r="BZ5" s="1718"/>
      <c r="CA5" s="1718"/>
      <c r="CB5" s="1718"/>
      <c r="CC5" s="1719"/>
      <c r="CD5" s="1719"/>
      <c r="CE5" s="331"/>
      <c r="CF5" s="198"/>
      <c r="CG5" s="237"/>
      <c r="CL5" s="655"/>
      <c r="CY5" s="1008"/>
      <c r="DA5" s="1066"/>
    </row>
    <row r="6" spans="1:105" s="1" customFormat="1" ht="62.25" customHeight="1" x14ac:dyDescent="0.2">
      <c r="A6" s="303"/>
      <c r="C6" s="304" t="s">
        <v>667</v>
      </c>
      <c r="D6" s="315" t="s">
        <v>672</v>
      </c>
      <c r="E6" s="303" t="s">
        <v>823</v>
      </c>
      <c r="F6" s="303">
        <v>10</v>
      </c>
      <c r="G6" s="303">
        <v>10</v>
      </c>
      <c r="H6" s="303">
        <v>10</v>
      </c>
      <c r="I6" s="303">
        <v>10</v>
      </c>
      <c r="J6" s="305"/>
      <c r="K6" s="303"/>
      <c r="L6" s="303"/>
      <c r="M6" s="303"/>
      <c r="N6" s="303"/>
      <c r="O6" s="303"/>
      <c r="P6" s="303"/>
      <c r="Q6" s="303"/>
      <c r="R6" s="303"/>
      <c r="S6" s="303"/>
      <c r="T6" s="303"/>
      <c r="U6" s="303"/>
      <c r="V6" s="303"/>
      <c r="W6" s="303"/>
      <c r="X6" s="303"/>
      <c r="Y6" s="1159">
        <f>(((Y7+Y9)*AL6)/100)</f>
        <v>10</v>
      </c>
      <c r="Z6" s="311"/>
      <c r="AA6" s="421">
        <f>(((AA7+AA9)*AL6)/100)</f>
        <v>5</v>
      </c>
      <c r="AB6" s="303"/>
      <c r="AC6" s="303"/>
      <c r="AD6" s="1160">
        <f>(((AD7+AD9)*AM6)/100)</f>
        <v>2.7230769230769232</v>
      </c>
      <c r="AE6" s="303"/>
      <c r="AF6" s="1160">
        <f>(AF7+AF9)/2</f>
        <v>59</v>
      </c>
      <c r="AG6" s="303"/>
      <c r="AH6" s="303"/>
      <c r="AI6" s="421"/>
      <c r="AJ6" s="421"/>
      <c r="AK6" s="421">
        <f>(AK7+AK9+AK17)/3</f>
        <v>28.969907407407408</v>
      </c>
      <c r="AL6" s="421">
        <f>+F6</f>
        <v>10</v>
      </c>
      <c r="AM6" s="421">
        <v>10</v>
      </c>
      <c r="AN6" s="311"/>
      <c r="AO6" s="318">
        <f>+AO7+AO9+AO15+AO17</f>
        <v>1045758475</v>
      </c>
      <c r="AP6" s="318">
        <f>+AP7+AP9+AP15+AP17</f>
        <v>0</v>
      </c>
      <c r="AQ6" s="318">
        <f>SUM(AO6:AP6)</f>
        <v>1045758475</v>
      </c>
      <c r="AR6" s="407">
        <f>+AR7+AR9+AR15+AR17</f>
        <v>2343328277</v>
      </c>
      <c r="AS6" s="407">
        <f>+AS7+AS9+AS15+AS17</f>
        <v>0</v>
      </c>
      <c r="AT6" s="407">
        <f>+AT7+AT9+AT15+AT17</f>
        <v>2343328277</v>
      </c>
      <c r="AU6" s="704">
        <f>+AU7+AU9+AU15+AU17</f>
        <v>1242653594.05</v>
      </c>
      <c r="AV6" s="704">
        <f>+AV7+AV9+AV15+AV17</f>
        <v>949558699</v>
      </c>
      <c r="AW6" s="704">
        <f>SUM(AU6:AV6)</f>
        <v>2192212293.0500002</v>
      </c>
      <c r="AX6" s="717">
        <f>+AX7+AX9+AX15+AX17</f>
        <v>2090443474</v>
      </c>
      <c r="AY6" s="661">
        <f>+AX6/AW6*100</f>
        <v>95.35771150574061</v>
      </c>
      <c r="AZ6" s="662">
        <f>+AZ7+AZ9+AZ15+AZ17</f>
        <v>1250623405.5</v>
      </c>
      <c r="BA6" s="661">
        <f>+AZ6/AW6*100</f>
        <v>57.048462389562729</v>
      </c>
      <c r="BB6" s="662">
        <f>+BB7+BB9+BB15+BB17</f>
        <v>1154196729.5</v>
      </c>
      <c r="BC6" s="661">
        <f>+BB6/AW6*100</f>
        <v>52.6498611999926</v>
      </c>
      <c r="BD6" s="944">
        <f>+BD7+BD9+BD15+BD17</f>
        <v>1394968695.5500002</v>
      </c>
      <c r="BE6" s="944">
        <f>+BE7+BE9+BE15+BE17</f>
        <v>0</v>
      </c>
      <c r="BF6" s="945">
        <f>+BF7+BF9+BF15+BF17</f>
        <v>0</v>
      </c>
      <c r="BG6" s="944">
        <f>SUM(BD6:BF6)</f>
        <v>1394968695.5500002</v>
      </c>
      <c r="BH6" s="944">
        <f>+BH7+BH9+BH15+BH17</f>
        <v>492415497</v>
      </c>
      <c r="BI6" s="944">
        <f>+BH6/BG6*100</f>
        <v>35.29939407033455</v>
      </c>
      <c r="BJ6" s="944">
        <f>+BJ7+BJ9+BJ15+BJ17</f>
        <v>110623363</v>
      </c>
      <c r="BK6" s="944">
        <f>+BJ6/BG6*100</f>
        <v>7.930168135879498</v>
      </c>
      <c r="BL6" s="944">
        <f>+BL7+BL9+BL15+BL17</f>
        <v>110623363</v>
      </c>
      <c r="BM6" s="944">
        <f>+BL6/BG6*100</f>
        <v>7.930168135879498</v>
      </c>
      <c r="BN6" s="944">
        <f>+BN7+BN9+BN15+BN17</f>
        <v>1101334322</v>
      </c>
      <c r="BO6" s="944">
        <f>+BO7+BO9+BO15+BO17</f>
        <v>850000000</v>
      </c>
      <c r="BP6" s="945">
        <f>+BP7+BP9+BP15+BP17</f>
        <v>0</v>
      </c>
      <c r="BQ6" s="944">
        <f>SUM(BN6:BP6)</f>
        <v>1951334322</v>
      </c>
      <c r="BR6" s="944">
        <f>+BR7+BR9+BR15+BR17</f>
        <v>1258967755</v>
      </c>
      <c r="BS6" s="944">
        <f>+BS7+BS9+BS15+BS17</f>
        <v>850000000</v>
      </c>
      <c r="BT6" s="944">
        <f>+BT7+BT9+BT15+BT17</f>
        <v>1800000000</v>
      </c>
      <c r="BU6" s="944">
        <f>SUM(BR6:BT6)</f>
        <v>3908967755</v>
      </c>
      <c r="BV6" s="944">
        <f>+BV7+BV9+BV15+BV17</f>
        <v>1417860668</v>
      </c>
      <c r="BW6" s="944">
        <f>+BW7+BW9+BW15+BW17</f>
        <v>850000000</v>
      </c>
      <c r="BX6" s="944">
        <f>+BX7+BX9+BX15+BX17</f>
        <v>1800000000</v>
      </c>
      <c r="BY6" s="944">
        <f>SUM(BV6:BX6)</f>
        <v>4067860668</v>
      </c>
      <c r="BZ6" s="946">
        <f>+BZ7+BZ9+BZ15+BZ17</f>
        <v>11564009411.6</v>
      </c>
      <c r="CA6" s="946">
        <f>+CA7+CA9+CA15+CA17</f>
        <v>2582858971</v>
      </c>
      <c r="CB6" s="946">
        <f>+CA6/BZ6*100</f>
        <v>22.335324013218997</v>
      </c>
      <c r="CC6" s="693"/>
      <c r="CD6" s="661"/>
      <c r="CE6" s="334" t="e">
        <f>+BZ6/#REF!*100</f>
        <v>#REF!</v>
      </c>
      <c r="CF6" s="198"/>
      <c r="CG6" s="237"/>
      <c r="CL6" s="197"/>
      <c r="CX6" s="911">
        <f>+BD6-BN6</f>
        <v>293634373.55000019</v>
      </c>
      <c r="CY6" s="1008"/>
      <c r="DA6" s="1066"/>
    </row>
    <row r="7" spans="1:105" s="815" customFormat="1" ht="42.6" customHeight="1" x14ac:dyDescent="0.2">
      <c r="A7" s="814" t="s">
        <v>33</v>
      </c>
      <c r="C7" s="1687"/>
      <c r="D7" s="1687"/>
      <c r="E7" s="816"/>
      <c r="F7" s="817"/>
      <c r="G7" s="817"/>
      <c r="H7" s="817"/>
      <c r="I7" s="817"/>
      <c r="J7" s="1138" t="s">
        <v>824</v>
      </c>
      <c r="K7" s="1138"/>
      <c r="L7" s="1204">
        <v>50</v>
      </c>
      <c r="M7" s="1204">
        <v>40</v>
      </c>
      <c r="N7" s="1204">
        <v>40</v>
      </c>
      <c r="O7" s="1204">
        <v>40</v>
      </c>
      <c r="P7" s="1205"/>
      <c r="Q7" s="1205"/>
      <c r="R7" s="1205"/>
      <c r="S7" s="1205"/>
      <c r="T7" s="1205"/>
      <c r="U7" s="1206"/>
      <c r="V7" s="1207"/>
      <c r="W7" s="1203"/>
      <c r="X7" s="1203"/>
      <c r="Y7" s="1203">
        <f>(((Y8)*AL7)/100)</f>
        <v>50</v>
      </c>
      <c r="Z7" s="1203"/>
      <c r="AA7" s="1203">
        <f>((((AA8)/1)*AL7)/100)</f>
        <v>50</v>
      </c>
      <c r="AB7" s="1203"/>
      <c r="AC7" s="1203"/>
      <c r="AD7" s="1203">
        <f>(((AD8)*AM7/100))</f>
        <v>27.230769230769234</v>
      </c>
      <c r="AE7" s="1203"/>
      <c r="AF7" s="1203">
        <f>AF8</f>
        <v>68</v>
      </c>
      <c r="AG7" s="1203"/>
      <c r="AH7" s="1203"/>
      <c r="AI7" s="1203"/>
      <c r="AJ7" s="1203"/>
      <c r="AK7" s="1203">
        <f>((AK8)/1)</f>
        <v>41.354166666666671</v>
      </c>
      <c r="AL7" s="1203">
        <f>+L7</f>
        <v>50</v>
      </c>
      <c r="AM7" s="1203">
        <v>40</v>
      </c>
      <c r="AN7" s="1203"/>
      <c r="AO7" s="821">
        <f>+AO8</f>
        <v>340000000</v>
      </c>
      <c r="AP7" s="821">
        <f>+AP8</f>
        <v>0</v>
      </c>
      <c r="AQ7" s="821">
        <f>SUM(AO7:AP7)</f>
        <v>340000000</v>
      </c>
      <c r="AR7" s="822">
        <f>+AR8</f>
        <v>581084943</v>
      </c>
      <c r="AS7" s="822">
        <f>+AS8</f>
        <v>0</v>
      </c>
      <c r="AT7" s="822">
        <f>+AT8</f>
        <v>581084943</v>
      </c>
      <c r="AU7" s="823">
        <f>+AU8</f>
        <v>611751119</v>
      </c>
      <c r="AV7" s="823">
        <f>+AV8</f>
        <v>949558699</v>
      </c>
      <c r="AW7" s="823">
        <f>SUM(AU7:AV7)</f>
        <v>1561309818</v>
      </c>
      <c r="AX7" s="824">
        <f>+AX8</f>
        <v>1469413836</v>
      </c>
      <c r="AY7" s="825">
        <f>+AX7/AW7*100</f>
        <v>94.114173821201192</v>
      </c>
      <c r="AZ7" s="826">
        <f>+AZ8</f>
        <v>809828730.5</v>
      </c>
      <c r="BA7" s="825">
        <f>+AZ7/AW7*100</f>
        <v>51.868547879713645</v>
      </c>
      <c r="BB7" s="826">
        <f>+BB8</f>
        <v>809828730.5</v>
      </c>
      <c r="BC7" s="825">
        <f>+BB7/AW7*100</f>
        <v>51.868547879713645</v>
      </c>
      <c r="BD7" s="947">
        <f>+BD8</f>
        <v>328708042.97000003</v>
      </c>
      <c r="BE7" s="947">
        <f>+BE8</f>
        <v>0</v>
      </c>
      <c r="BF7" s="947">
        <f>+BF8</f>
        <v>0</v>
      </c>
      <c r="BG7" s="947">
        <f>SUM(BD7:BF7)</f>
        <v>328708042.97000003</v>
      </c>
      <c r="BH7" s="947">
        <f>+BH8</f>
        <v>131372736</v>
      </c>
      <c r="BI7" s="947">
        <f>+BH7/BG7*100</f>
        <v>39.966389265379156</v>
      </c>
      <c r="BJ7" s="947">
        <f>+BJ8</f>
        <v>34898451</v>
      </c>
      <c r="BK7" s="947">
        <f>+BJ7/BG7*100</f>
        <v>10.616853389007295</v>
      </c>
      <c r="BL7" s="947">
        <f>+BL8</f>
        <v>34898451</v>
      </c>
      <c r="BM7" s="947">
        <f>+BL7/BG7*100</f>
        <v>10.616853389007295</v>
      </c>
      <c r="BN7" s="947">
        <f>+BN8</f>
        <v>175000000</v>
      </c>
      <c r="BO7" s="947">
        <f>+BO8</f>
        <v>850000000</v>
      </c>
      <c r="BP7" s="947">
        <f>+BP8</f>
        <v>0</v>
      </c>
      <c r="BQ7" s="947">
        <f>SUM(BN7:BP7)</f>
        <v>1025000000</v>
      </c>
      <c r="BR7" s="947">
        <f>+BR8</f>
        <v>175000000</v>
      </c>
      <c r="BS7" s="947">
        <f>+BS8</f>
        <v>850000000</v>
      </c>
      <c r="BT7" s="947">
        <f>+BT8</f>
        <v>0</v>
      </c>
      <c r="BU7" s="947">
        <f>SUM(BR7:BT7)</f>
        <v>1025000000</v>
      </c>
      <c r="BV7" s="947">
        <f>+BV8</f>
        <v>300000000</v>
      </c>
      <c r="BW7" s="947">
        <f>+BW8</f>
        <v>850000000</v>
      </c>
      <c r="BX7" s="947">
        <f>+BX8</f>
        <v>0</v>
      </c>
      <c r="BY7" s="947">
        <f>SUM(BV7:BX7)</f>
        <v>1150000000</v>
      </c>
      <c r="BZ7" s="948">
        <f>+BZ8</f>
        <v>4065017860.9700003</v>
      </c>
      <c r="CA7" s="948">
        <f>+CA8</f>
        <v>1600786572</v>
      </c>
      <c r="CB7" s="949">
        <f>+CA7/BZ7*100</f>
        <v>39.379570441002151</v>
      </c>
      <c r="CC7" s="827"/>
      <c r="CD7" s="825"/>
      <c r="CE7" s="828"/>
      <c r="CF7" s="828">
        <f>+BZ8</f>
        <v>4065017860.9700003</v>
      </c>
      <c r="CG7" s="829">
        <v>367294171</v>
      </c>
      <c r="CL7" s="821"/>
      <c r="CX7" s="911">
        <f t="shared" ref="CX7:CX70" si="0">+BD7-BN7</f>
        <v>153708042.97000003</v>
      </c>
      <c r="CY7" s="1009"/>
      <c r="DA7" s="846"/>
    </row>
    <row r="8" spans="1:105" s="64" customFormat="1" ht="186.75" customHeight="1" x14ac:dyDescent="0.2">
      <c r="A8" s="521" t="s">
        <v>34</v>
      </c>
      <c r="C8" s="1704"/>
      <c r="D8" s="1704"/>
      <c r="E8" s="524"/>
      <c r="F8" s="525"/>
      <c r="G8" s="525"/>
      <c r="H8" s="525"/>
      <c r="I8" s="525"/>
      <c r="J8" s="1154"/>
      <c r="K8" s="1145" t="s">
        <v>832</v>
      </c>
      <c r="L8" s="1150"/>
      <c r="M8" s="1150"/>
      <c r="N8" s="1150"/>
      <c r="O8" s="1150"/>
      <c r="P8" s="1146" t="s">
        <v>607</v>
      </c>
      <c r="Q8" s="1150">
        <v>100</v>
      </c>
      <c r="R8" s="1150">
        <v>100</v>
      </c>
      <c r="S8" s="1150">
        <v>100</v>
      </c>
      <c r="T8" s="1150">
        <v>100</v>
      </c>
      <c r="U8" s="1145" t="s">
        <v>757</v>
      </c>
      <c r="V8" s="1152" t="s">
        <v>147</v>
      </c>
      <c r="W8" s="214">
        <v>22</v>
      </c>
      <c r="X8" s="214">
        <v>22</v>
      </c>
      <c r="Y8" s="214">
        <f>(((X8/W8*100)*AL8)/100)</f>
        <v>100</v>
      </c>
      <c r="Z8" s="210" t="s">
        <v>1114</v>
      </c>
      <c r="AA8" s="214">
        <f>+Y8</f>
        <v>100</v>
      </c>
      <c r="AB8" s="214">
        <v>26</v>
      </c>
      <c r="AC8" s="1097">
        <v>17.7</v>
      </c>
      <c r="AD8" s="214">
        <f>(((AC8/AB8*100)*AM8)/100)</f>
        <v>68.07692307692308</v>
      </c>
      <c r="AE8" s="420" t="s">
        <v>1196</v>
      </c>
      <c r="AF8" s="214">
        <v>68</v>
      </c>
      <c r="AG8" s="214">
        <v>25</v>
      </c>
      <c r="AH8" s="214">
        <v>23</v>
      </c>
      <c r="AI8" s="214">
        <f>+W8+AB8+AG8+AH8</f>
        <v>96</v>
      </c>
      <c r="AJ8" s="214">
        <f>+X8+AC8</f>
        <v>39.700000000000003</v>
      </c>
      <c r="AK8" s="214">
        <f>+AJ8/AI8*100</f>
        <v>41.354166666666671</v>
      </c>
      <c r="AL8" s="214">
        <v>100</v>
      </c>
      <c r="AM8" s="1299">
        <f>+R8</f>
        <v>100</v>
      </c>
      <c r="AN8" s="1300"/>
      <c r="AO8" s="517">
        <v>340000000</v>
      </c>
      <c r="AP8" s="517"/>
      <c r="AQ8" s="517">
        <f>SUM(AO8:AP8)</f>
        <v>340000000</v>
      </c>
      <c r="AR8" s="526">
        <v>581084943</v>
      </c>
      <c r="AS8" s="526"/>
      <c r="AT8" s="526">
        <f>+SUM(AR8:AS8)</f>
        <v>581084943</v>
      </c>
      <c r="AU8" s="706">
        <f>611751119</f>
        <v>611751119</v>
      </c>
      <c r="AV8" s="706">
        <v>949558699</v>
      </c>
      <c r="AW8" s="706">
        <f>SUM(AU8:AV8)</f>
        <v>1561309818</v>
      </c>
      <c r="AX8" s="770">
        <f>523638239+945775597</f>
        <v>1469413836</v>
      </c>
      <c r="AY8" s="665">
        <f>+AX8/AW8*100</f>
        <v>94.114173821201192</v>
      </c>
      <c r="AZ8" s="666">
        <v>809828730.5</v>
      </c>
      <c r="BA8" s="665">
        <f>+AZ8/AW8*100</f>
        <v>51.868547879713645</v>
      </c>
      <c r="BB8" s="666">
        <v>809828730.5</v>
      </c>
      <c r="BC8" s="665">
        <f>+BB8/AW8*100</f>
        <v>51.868547879713645</v>
      </c>
      <c r="BD8" s="1022">
        <v>328708042.97000003</v>
      </c>
      <c r="BE8" s="1022"/>
      <c r="BF8" s="1037"/>
      <c r="BG8" s="1022">
        <f>SUM(BD8:BF8)</f>
        <v>328708042.97000003</v>
      </c>
      <c r="BH8" s="1022">
        <v>131372736</v>
      </c>
      <c r="BI8" s="1022">
        <f>+BH8/BG8*100</f>
        <v>39.966389265379156</v>
      </c>
      <c r="BJ8" s="1079">
        <v>34898451</v>
      </c>
      <c r="BK8" s="1031">
        <f>+BJ8/BG8*100</f>
        <v>10.616853389007295</v>
      </c>
      <c r="BL8" s="1079">
        <v>34898451</v>
      </c>
      <c r="BM8" s="950">
        <f>+BL8/BG8*100</f>
        <v>10.616853389007295</v>
      </c>
      <c r="BN8" s="950">
        <v>175000000</v>
      </c>
      <c r="BO8" s="950">
        <v>850000000</v>
      </c>
      <c r="BP8" s="951"/>
      <c r="BQ8" s="950">
        <f>SUM(BN8:BP8)</f>
        <v>1025000000</v>
      </c>
      <c r="BR8" s="950">
        <v>175000000</v>
      </c>
      <c r="BS8" s="950">
        <v>850000000</v>
      </c>
      <c r="BT8" s="951"/>
      <c r="BU8" s="950">
        <f>SUM(BR8:BT8)</f>
        <v>1025000000</v>
      </c>
      <c r="BV8" s="950">
        <v>300000000</v>
      </c>
      <c r="BW8" s="950">
        <v>850000000</v>
      </c>
      <c r="BX8" s="951"/>
      <c r="BY8" s="950">
        <f>SUM(BV8:BX8)</f>
        <v>1150000000</v>
      </c>
      <c r="BZ8" s="953">
        <f>+AW8+BG8+BU8+BY8</f>
        <v>4065017860.9700003</v>
      </c>
      <c r="CA8" s="953">
        <f>+BH8+AX8</f>
        <v>1600786572</v>
      </c>
      <c r="CB8" s="952">
        <f>+CA8/BZ8*100</f>
        <v>39.379570441002151</v>
      </c>
      <c r="CC8" s="695" t="s">
        <v>1014</v>
      </c>
      <c r="CD8" s="1086" t="s">
        <v>1163</v>
      </c>
      <c r="CE8" s="528"/>
      <c r="CF8" s="528"/>
      <c r="CG8" s="529"/>
      <c r="CL8" s="517">
        <f>30666176+949558699</f>
        <v>980224875</v>
      </c>
      <c r="CM8" s="530">
        <v>241084943</v>
      </c>
      <c r="CN8" s="530">
        <v>30666176</v>
      </c>
      <c r="CO8" s="530">
        <v>949558699</v>
      </c>
      <c r="CP8" s="530">
        <f>+CM8+CN8+CO8</f>
        <v>1221309818</v>
      </c>
      <c r="CX8" s="911">
        <f t="shared" si="0"/>
        <v>153708042.97000003</v>
      </c>
      <c r="CY8" s="1013"/>
      <c r="CZ8" s="1014"/>
      <c r="DA8" s="1101"/>
    </row>
    <row r="9" spans="1:105" s="830" customFormat="1" ht="63.75" customHeight="1" x14ac:dyDescent="0.2">
      <c r="A9" s="814" t="s">
        <v>155</v>
      </c>
      <c r="C9" s="831"/>
      <c r="D9" s="831"/>
      <c r="E9" s="832"/>
      <c r="F9" s="831"/>
      <c r="G9" s="831"/>
      <c r="H9" s="831"/>
      <c r="I9" s="831"/>
      <c r="J9" s="1208" t="s">
        <v>825</v>
      </c>
      <c r="K9" s="1138"/>
      <c r="L9" s="1209">
        <v>50</v>
      </c>
      <c r="M9" s="1209">
        <v>40</v>
      </c>
      <c r="N9" s="1209">
        <v>30</v>
      </c>
      <c r="O9" s="1209">
        <v>30</v>
      </c>
      <c r="P9" s="1210"/>
      <c r="Q9" s="1205"/>
      <c r="R9" s="1205"/>
      <c r="S9" s="1205"/>
      <c r="T9" s="1205"/>
      <c r="U9" s="1205"/>
      <c r="V9" s="1207"/>
      <c r="W9" s="1203"/>
      <c r="X9" s="1203"/>
      <c r="Y9" s="1211">
        <f>((((+Y10++Y12+Y13)/3)*AL9)/100)</f>
        <v>50</v>
      </c>
      <c r="Z9" s="1211"/>
      <c r="AA9" s="1211">
        <f>((((AA10+AA12+AA13)/3)*AL9)/100)</f>
        <v>0</v>
      </c>
      <c r="AB9" s="1211"/>
      <c r="AC9" s="1211"/>
      <c r="AD9" s="1211">
        <f>((((+AD11+AD12+AD13)/3)*AM9)/100)</f>
        <v>0</v>
      </c>
      <c r="AE9" s="1211"/>
      <c r="AF9" s="1211">
        <f>(AF11+AF12+AF13)/3</f>
        <v>50</v>
      </c>
      <c r="AG9" s="1211"/>
      <c r="AH9" s="1211"/>
      <c r="AI9" s="1211"/>
      <c r="AJ9" s="1211"/>
      <c r="AK9" s="1211">
        <f>((AK10+AK12+AK13)/3)</f>
        <v>45.55555555555555</v>
      </c>
      <c r="AL9" s="1211">
        <f>+L9</f>
        <v>50</v>
      </c>
      <c r="AM9" s="1211">
        <v>40</v>
      </c>
      <c r="AN9" s="1211"/>
      <c r="AO9" s="821">
        <f>SUM(AO10)</f>
        <v>705758475</v>
      </c>
      <c r="AP9" s="821">
        <f>SUM(AP10)</f>
        <v>0</v>
      </c>
      <c r="AQ9" s="821">
        <f>SUM(AO9:AP9)</f>
        <v>705758475</v>
      </c>
      <c r="AR9" s="822">
        <f>+AR10</f>
        <v>1762243334</v>
      </c>
      <c r="AS9" s="822">
        <f>SUM(AS10)</f>
        <v>0</v>
      </c>
      <c r="AT9" s="822">
        <f>SUM(AT10)</f>
        <v>1762243334</v>
      </c>
      <c r="AU9" s="823">
        <f>SUM(AU10)</f>
        <v>630902475.04999995</v>
      </c>
      <c r="AV9" s="823">
        <f>SUM(AV10)</f>
        <v>0</v>
      </c>
      <c r="AW9" s="823">
        <f>SUM(AU9:AV9)</f>
        <v>630902475.04999995</v>
      </c>
      <c r="AX9" s="824">
        <f>+AX10</f>
        <v>621029638</v>
      </c>
      <c r="AY9" s="825">
        <f>+AX9/AW9*100</f>
        <v>98.435124691939507</v>
      </c>
      <c r="AZ9" s="826">
        <f>+AZ10</f>
        <v>440794675</v>
      </c>
      <c r="BA9" s="825">
        <f>+AZ9/AW9*100</f>
        <v>69.86732378329414</v>
      </c>
      <c r="BB9" s="826">
        <f>+BB10</f>
        <v>344367999</v>
      </c>
      <c r="BC9" s="825">
        <f>+BB9/AW9*100</f>
        <v>54.583396423148969</v>
      </c>
      <c r="BD9" s="947">
        <f>SUM(BD10)</f>
        <v>916260652.58000004</v>
      </c>
      <c r="BE9" s="947">
        <f>SUM(BE10)</f>
        <v>0</v>
      </c>
      <c r="BF9" s="947">
        <f>SUM(BF10)</f>
        <v>0</v>
      </c>
      <c r="BG9" s="947">
        <f>SUM(BD9:BF9)</f>
        <v>916260652.58000004</v>
      </c>
      <c r="BH9" s="947">
        <f>SUM(BH10)</f>
        <v>361042761</v>
      </c>
      <c r="BI9" s="947">
        <f>+BH9/BG9*100</f>
        <v>39.403935985178286</v>
      </c>
      <c r="BJ9" s="947">
        <f>SUM(BJ10)</f>
        <v>75724912</v>
      </c>
      <c r="BK9" s="947">
        <f>+BJ9/BG9*100</f>
        <v>8.2645600666987438</v>
      </c>
      <c r="BL9" s="947">
        <f>SUM(BL10)</f>
        <v>75724912</v>
      </c>
      <c r="BM9" s="947">
        <f>+BL9/BG9*100</f>
        <v>8.2645600666987438</v>
      </c>
      <c r="BN9" s="947">
        <f>SUM(BN10)</f>
        <v>776334322</v>
      </c>
      <c r="BO9" s="947">
        <f>SUM(BO10)</f>
        <v>0</v>
      </c>
      <c r="BP9" s="947">
        <f>SUM(BP10)</f>
        <v>0</v>
      </c>
      <c r="BQ9" s="947">
        <f>SUM(BN9:BP9)</f>
        <v>776334322</v>
      </c>
      <c r="BR9" s="947">
        <f>SUM(BR10)</f>
        <v>853967755</v>
      </c>
      <c r="BS9" s="947">
        <f>SUM(BS10)</f>
        <v>0</v>
      </c>
      <c r="BT9" s="947">
        <f>SUM(BT10)</f>
        <v>0</v>
      </c>
      <c r="BU9" s="947">
        <f>SUM(BR9:BT9)</f>
        <v>853967755</v>
      </c>
      <c r="BV9" s="947">
        <f>SUM(BV10)</f>
        <v>939364530</v>
      </c>
      <c r="BW9" s="947">
        <f>SUM(BW10)</f>
        <v>0</v>
      </c>
      <c r="BX9" s="947">
        <f>SUM(BX10)</f>
        <v>0</v>
      </c>
      <c r="BY9" s="947">
        <f>SUM(BV9:BX9)</f>
        <v>939364530</v>
      </c>
      <c r="BZ9" s="948">
        <f>+BZ10</f>
        <v>3340495412.6300001</v>
      </c>
      <c r="CA9" s="948">
        <f>+CA10</f>
        <v>982072399</v>
      </c>
      <c r="CB9" s="949">
        <f>+CA9/BZ9*100</f>
        <v>29.39900456940925</v>
      </c>
      <c r="CC9" s="827"/>
      <c r="CD9" s="825"/>
      <c r="CE9" s="828"/>
      <c r="CF9" s="834">
        <f>+BZ10</f>
        <v>3340495412.6300001</v>
      </c>
      <c r="CG9" s="835">
        <v>1392223983.05</v>
      </c>
      <c r="CH9" s="835"/>
      <c r="CI9" s="835"/>
      <c r="CJ9" s="835"/>
      <c r="CK9" s="835"/>
      <c r="CL9" s="821"/>
      <c r="CX9" s="911">
        <f t="shared" si="0"/>
        <v>139926330.58000004</v>
      </c>
      <c r="CY9" s="1009"/>
      <c r="DA9" s="1067"/>
    </row>
    <row r="10" spans="1:105" s="68" customFormat="1" ht="225" hidden="1" x14ac:dyDescent="0.2">
      <c r="A10" s="16" t="s">
        <v>40</v>
      </c>
      <c r="C10" s="531"/>
      <c r="D10" s="531"/>
      <c r="E10" s="524"/>
      <c r="F10" s="531"/>
      <c r="G10" s="531"/>
      <c r="H10" s="531"/>
      <c r="I10" s="531"/>
      <c r="J10" s="1521"/>
      <c r="K10" s="1449" t="s">
        <v>449</v>
      </c>
      <c r="L10" s="519"/>
      <c r="M10" s="519"/>
      <c r="N10" s="519"/>
      <c r="O10" s="519"/>
      <c r="P10" s="1449" t="s">
        <v>730</v>
      </c>
      <c r="Q10" s="1655">
        <v>100</v>
      </c>
      <c r="R10" s="1655">
        <v>100</v>
      </c>
      <c r="S10" s="1655">
        <v>100</v>
      </c>
      <c r="T10" s="1655">
        <v>100</v>
      </c>
      <c r="U10" s="532" t="s">
        <v>696</v>
      </c>
      <c r="V10" s="1155" t="s">
        <v>137</v>
      </c>
      <c r="W10" s="223">
        <v>11</v>
      </c>
      <c r="X10" s="223">
        <v>11</v>
      </c>
      <c r="Y10" s="1301">
        <f>(((X10/W10*100)*AL10)/100)</f>
        <v>100</v>
      </c>
      <c r="Z10" s="1134" t="s">
        <v>1020</v>
      </c>
      <c r="AA10" s="1302">
        <v>0</v>
      </c>
      <c r="AB10" s="223">
        <v>0</v>
      </c>
      <c r="AC10" s="223">
        <v>0</v>
      </c>
      <c r="AD10" s="223"/>
      <c r="AE10" s="1303"/>
      <c r="AF10" s="223"/>
      <c r="AG10" s="223">
        <v>1</v>
      </c>
      <c r="AH10" s="223"/>
      <c r="AI10" s="425">
        <f>+W10+AG10+AB10</f>
        <v>12</v>
      </c>
      <c r="AJ10" s="223">
        <f>+X10+AC10</f>
        <v>11</v>
      </c>
      <c r="AK10" s="424">
        <f>+AJ10/AI10*100</f>
        <v>91.666666666666657</v>
      </c>
      <c r="AL10" s="1410">
        <v>100</v>
      </c>
      <c r="AM10" s="1410">
        <f>+R10</f>
        <v>100</v>
      </c>
      <c r="AN10" s="509"/>
      <c r="AO10" s="1529">
        <v>705758475</v>
      </c>
      <c r="AP10" s="1529"/>
      <c r="AQ10" s="1529">
        <f>SUM(AO10:AP10)</f>
        <v>705758475</v>
      </c>
      <c r="AR10" s="1506">
        <f>1762243334</f>
        <v>1762243334</v>
      </c>
      <c r="AS10" s="1532"/>
      <c r="AT10" s="1506">
        <f>+SUM(AR10:AS14)</f>
        <v>1762243334</v>
      </c>
      <c r="AU10" s="1419">
        <v>630902475.04999995</v>
      </c>
      <c r="AV10" s="1419"/>
      <c r="AW10" s="1419">
        <f>SUM(AU10:AV10)</f>
        <v>630902475.04999995</v>
      </c>
      <c r="AX10" s="1429">
        <v>621029638</v>
      </c>
      <c r="AY10" s="1513">
        <f>+AX10/AW10*100</f>
        <v>98.435124691939507</v>
      </c>
      <c r="AZ10" s="1516">
        <v>440794675</v>
      </c>
      <c r="BA10" s="1513">
        <f>+AZ10/AW10*100</f>
        <v>69.86732378329414</v>
      </c>
      <c r="BB10" s="1516">
        <v>344367999</v>
      </c>
      <c r="BC10" s="1513">
        <f>+BB10/AW10*100</f>
        <v>54.583396423148969</v>
      </c>
      <c r="BD10" s="1388">
        <v>916260652.58000004</v>
      </c>
      <c r="BE10" s="1388"/>
      <c r="BF10" s="1388"/>
      <c r="BG10" s="1388">
        <f>SUM(BD10:BF10)</f>
        <v>916260652.58000004</v>
      </c>
      <c r="BH10" s="1388">
        <v>361042761</v>
      </c>
      <c r="BI10" s="1388">
        <f>+BH10/BG10*100</f>
        <v>39.403935985178286</v>
      </c>
      <c r="BJ10" s="1388">
        <v>75724912</v>
      </c>
      <c r="BK10" s="1388">
        <f>+BJ10/BG10*100</f>
        <v>8.2645600666987438</v>
      </c>
      <c r="BL10" s="1388">
        <v>75724912</v>
      </c>
      <c r="BM10" s="1388">
        <f>+BL10/BG10*100</f>
        <v>8.2645600666987438</v>
      </c>
      <c r="BN10" s="1388">
        <v>776334322</v>
      </c>
      <c r="BO10" s="1388"/>
      <c r="BP10" s="1388"/>
      <c r="BQ10" s="1388">
        <f>SUM(BN10:BP10)</f>
        <v>776334322</v>
      </c>
      <c r="BR10" s="1388">
        <v>853967755</v>
      </c>
      <c r="BS10" s="1388"/>
      <c r="BT10" s="1388"/>
      <c r="BU10" s="1388">
        <f>SUM(BR10:BT10)</f>
        <v>853967755</v>
      </c>
      <c r="BV10" s="1388">
        <v>939364530</v>
      </c>
      <c r="BW10" s="1388"/>
      <c r="BX10" s="1388"/>
      <c r="BY10" s="1388">
        <f>SUM(BV10:BX10)</f>
        <v>939364530</v>
      </c>
      <c r="BZ10" s="1401">
        <f>+AW10+BG10+BU10+BY10</f>
        <v>3340495412.6300001</v>
      </c>
      <c r="CA10" s="1480">
        <f>+BH10+AX10</f>
        <v>982072399</v>
      </c>
      <c r="CB10" s="1477">
        <f>+CA10/BZ10*100</f>
        <v>29.39900456940925</v>
      </c>
      <c r="CC10" s="1608" t="s">
        <v>1016</v>
      </c>
      <c r="CD10" s="1735" t="s">
        <v>1164</v>
      </c>
      <c r="CE10" s="528"/>
      <c r="CF10" s="533"/>
      <c r="CG10" s="529"/>
      <c r="CH10" s="106"/>
      <c r="CI10" s="106"/>
      <c r="CJ10" s="106"/>
      <c r="CK10" s="106"/>
      <c r="CL10" s="517">
        <v>-1131340859</v>
      </c>
      <c r="CM10" s="534"/>
      <c r="CX10" s="911">
        <f t="shared" si="0"/>
        <v>139926330.58000004</v>
      </c>
      <c r="CY10" s="1013"/>
      <c r="CZ10" s="1014"/>
      <c r="DA10" s="1069"/>
    </row>
    <row r="11" spans="1:105" s="68" customFormat="1" ht="123.75" customHeight="1" x14ac:dyDescent="0.2">
      <c r="A11" s="16"/>
      <c r="C11" s="531"/>
      <c r="D11" s="531"/>
      <c r="E11" s="524"/>
      <c r="F11" s="531"/>
      <c r="G11" s="531"/>
      <c r="H11" s="531"/>
      <c r="I11" s="531"/>
      <c r="J11" s="1475"/>
      <c r="K11" s="1451"/>
      <c r="L11" s="520"/>
      <c r="M11" s="520"/>
      <c r="N11" s="520"/>
      <c r="O11" s="520"/>
      <c r="P11" s="1450"/>
      <c r="Q11" s="1680"/>
      <c r="R11" s="1680"/>
      <c r="S11" s="1680"/>
      <c r="T11" s="1680"/>
      <c r="U11" s="535" t="s">
        <v>803</v>
      </c>
      <c r="V11" s="1155" t="s">
        <v>147</v>
      </c>
      <c r="W11" s="223"/>
      <c r="X11" s="223"/>
      <c r="Y11" s="1302"/>
      <c r="Z11" s="1121"/>
      <c r="AA11" s="1302"/>
      <c r="AB11" s="223">
        <v>100</v>
      </c>
      <c r="AC11" s="223">
        <v>0</v>
      </c>
      <c r="AD11" s="223">
        <f>(((AC11/AB11*100)*100)/100)</f>
        <v>0</v>
      </c>
      <c r="AE11" s="1121" t="s">
        <v>1233</v>
      </c>
      <c r="AF11" s="223">
        <v>50</v>
      </c>
      <c r="AG11" s="223"/>
      <c r="AH11" s="223">
        <v>100</v>
      </c>
      <c r="AI11" s="425">
        <v>100</v>
      </c>
      <c r="AJ11" s="1156">
        <f>+AC11</f>
        <v>0</v>
      </c>
      <c r="AK11" s="424">
        <f>+AJ11/AI11*100</f>
        <v>0</v>
      </c>
      <c r="AL11" s="1411"/>
      <c r="AM11" s="1411"/>
      <c r="AN11" s="506" t="s">
        <v>689</v>
      </c>
      <c r="AO11" s="1530"/>
      <c r="AP11" s="1530"/>
      <c r="AQ11" s="1530"/>
      <c r="AR11" s="1507"/>
      <c r="AS11" s="1533"/>
      <c r="AT11" s="1507"/>
      <c r="AU11" s="1420"/>
      <c r="AV11" s="1420"/>
      <c r="AW11" s="1420"/>
      <c r="AX11" s="1512"/>
      <c r="AY11" s="1514" t="e">
        <f>+AX11/AR11*100</f>
        <v>#DIV/0!</v>
      </c>
      <c r="AZ11" s="1517"/>
      <c r="BA11" s="1514" t="e">
        <f>+AZ11/AT11*100</f>
        <v>#DIV/0!</v>
      </c>
      <c r="BB11" s="1517"/>
      <c r="BC11" s="1514" t="e">
        <f>+BB11/AY11*100</f>
        <v>#DIV/0!</v>
      </c>
      <c r="BD11" s="1389"/>
      <c r="BE11" s="1389"/>
      <c r="BF11" s="1389"/>
      <c r="BG11" s="1389"/>
      <c r="BH11" s="1389"/>
      <c r="BI11" s="1389"/>
      <c r="BJ11" s="1389"/>
      <c r="BK11" s="1389"/>
      <c r="BL11" s="1389"/>
      <c r="BM11" s="1389"/>
      <c r="BN11" s="1389"/>
      <c r="BO11" s="1389"/>
      <c r="BP11" s="1389"/>
      <c r="BQ11" s="1389"/>
      <c r="BR11" s="1389"/>
      <c r="BS11" s="1389"/>
      <c r="BT11" s="1389"/>
      <c r="BU11" s="1389"/>
      <c r="BV11" s="1389"/>
      <c r="BW11" s="1389"/>
      <c r="BX11" s="1389"/>
      <c r="BY11" s="1389"/>
      <c r="BZ11" s="1402">
        <f>+AQ11+BQ11+BU11+BY11</f>
        <v>0</v>
      </c>
      <c r="CA11" s="1481"/>
      <c r="CB11" s="1478" t="e">
        <f>+CA11/BX11*100</f>
        <v>#DIV/0!</v>
      </c>
      <c r="CC11" s="1609"/>
      <c r="CD11" s="1736"/>
      <c r="CE11" s="528"/>
      <c r="CF11" s="533"/>
      <c r="CG11" s="529"/>
      <c r="CH11" s="106"/>
      <c r="CI11" s="106"/>
      <c r="CJ11" s="106"/>
      <c r="CK11" s="106"/>
      <c r="CL11" s="517">
        <v>-335739124</v>
      </c>
      <c r="CX11" s="911">
        <f t="shared" si="0"/>
        <v>0</v>
      </c>
      <c r="CY11" s="1010"/>
      <c r="DA11" s="1111"/>
    </row>
    <row r="12" spans="1:105" s="68" customFormat="1" ht="270" x14ac:dyDescent="0.2">
      <c r="A12" s="16" t="s">
        <v>41</v>
      </c>
      <c r="C12" s="531"/>
      <c r="D12" s="531"/>
      <c r="E12" s="524"/>
      <c r="F12" s="531"/>
      <c r="G12" s="531"/>
      <c r="H12" s="531"/>
      <c r="I12" s="531"/>
      <c r="J12" s="1475"/>
      <c r="K12" s="16" t="s">
        <v>677</v>
      </c>
      <c r="L12" s="520"/>
      <c r="M12" s="520"/>
      <c r="N12" s="520"/>
      <c r="O12" s="520"/>
      <c r="P12" s="1450"/>
      <c r="Q12" s="1680"/>
      <c r="R12" s="1680"/>
      <c r="S12" s="1680"/>
      <c r="T12" s="1680"/>
      <c r="U12" s="532" t="s">
        <v>188</v>
      </c>
      <c r="V12" s="1155" t="s">
        <v>137</v>
      </c>
      <c r="W12" s="1304">
        <v>7</v>
      </c>
      <c r="X12" s="1304">
        <v>7</v>
      </c>
      <c r="Y12" s="1302">
        <f>(((X12/W12*100)*AL10)/100)</f>
        <v>100</v>
      </c>
      <c r="Z12" s="536" t="s">
        <v>1021</v>
      </c>
      <c r="AA12" s="1305">
        <v>0</v>
      </c>
      <c r="AB12" s="745">
        <v>7</v>
      </c>
      <c r="AC12" s="745">
        <v>0</v>
      </c>
      <c r="AD12" s="223">
        <f>(((AC12/AB12*100)*AM12)/100)</f>
        <v>0</v>
      </c>
      <c r="AE12" s="536" t="s">
        <v>1234</v>
      </c>
      <c r="AF12" s="745">
        <v>50</v>
      </c>
      <c r="AG12" s="745">
        <v>7</v>
      </c>
      <c r="AH12" s="745">
        <v>7</v>
      </c>
      <c r="AI12" s="425">
        <f>+W12+AB12+AG12+AH12</f>
        <v>28</v>
      </c>
      <c r="AJ12" s="223">
        <f>+X12+AC12</f>
        <v>7</v>
      </c>
      <c r="AK12" s="424">
        <f>+AJ12/AI12*100</f>
        <v>25</v>
      </c>
      <c r="AL12" s="1411"/>
      <c r="AM12" s="1411"/>
      <c r="AN12" s="537"/>
      <c r="AO12" s="1530"/>
      <c r="AP12" s="1530"/>
      <c r="AQ12" s="1530">
        <f>SUM(AO12:AP12)</f>
        <v>0</v>
      </c>
      <c r="AR12" s="1507"/>
      <c r="AS12" s="1533"/>
      <c r="AT12" s="1507"/>
      <c r="AU12" s="1420"/>
      <c r="AV12" s="1420"/>
      <c r="AW12" s="1420">
        <f>SUM(AU12:AV12)</f>
        <v>0</v>
      </c>
      <c r="AX12" s="1512"/>
      <c r="AY12" s="1514" t="e">
        <f>+AX12/AR12*100</f>
        <v>#DIV/0!</v>
      </c>
      <c r="AZ12" s="1517"/>
      <c r="BA12" s="1514" t="e">
        <f>+AZ12/AT12*100</f>
        <v>#DIV/0!</v>
      </c>
      <c r="BB12" s="1517"/>
      <c r="BC12" s="1514" t="e">
        <f>+BB12/AY12*100</f>
        <v>#DIV/0!</v>
      </c>
      <c r="BD12" s="1389"/>
      <c r="BE12" s="1389"/>
      <c r="BF12" s="1389"/>
      <c r="BG12" s="1389">
        <f>SUM(BD12:BF12)</f>
        <v>0</v>
      </c>
      <c r="BH12" s="1389"/>
      <c r="BI12" s="1389"/>
      <c r="BJ12" s="1389"/>
      <c r="BK12" s="1389"/>
      <c r="BL12" s="1389"/>
      <c r="BM12" s="1389"/>
      <c r="BN12" s="1389"/>
      <c r="BO12" s="1389"/>
      <c r="BP12" s="1389"/>
      <c r="BQ12" s="1389">
        <f>SUM(BN12:BP12)</f>
        <v>0</v>
      </c>
      <c r="BR12" s="1389"/>
      <c r="BS12" s="1389"/>
      <c r="BT12" s="1389"/>
      <c r="BU12" s="1389">
        <f t="shared" ref="BU12:BU18" si="1">SUM(BR12:BT12)</f>
        <v>0</v>
      </c>
      <c r="BV12" s="1389"/>
      <c r="BW12" s="1389"/>
      <c r="BX12" s="1389"/>
      <c r="BY12" s="1389">
        <f t="shared" ref="BY12:BY18" si="2">SUM(BV12:BX12)</f>
        <v>0</v>
      </c>
      <c r="BZ12" s="1402">
        <f>+AQ12+BQ12+BU12+BY12</f>
        <v>0</v>
      </c>
      <c r="CA12" s="1481"/>
      <c r="CB12" s="1478" t="e">
        <f>+CA12/BX12*100</f>
        <v>#DIV/0!</v>
      </c>
      <c r="CC12" s="1609"/>
      <c r="CD12" s="1736"/>
      <c r="CE12" s="528"/>
      <c r="CF12" s="533"/>
      <c r="CG12" s="529"/>
      <c r="CH12" s="106"/>
      <c r="CI12" s="106"/>
      <c r="CJ12" s="106"/>
      <c r="CK12" s="106"/>
      <c r="CL12" s="522"/>
      <c r="CX12" s="911">
        <f t="shared" si="0"/>
        <v>0</v>
      </c>
      <c r="CY12" s="1010"/>
      <c r="DA12" s="1111"/>
    </row>
    <row r="13" spans="1:105" s="68" customFormat="1" ht="135" x14ac:dyDescent="0.2">
      <c r="A13" s="16" t="s">
        <v>42</v>
      </c>
      <c r="C13" s="531"/>
      <c r="D13" s="531"/>
      <c r="E13" s="524"/>
      <c r="F13" s="531"/>
      <c r="G13" s="531"/>
      <c r="H13" s="531"/>
      <c r="I13" s="531"/>
      <c r="J13" s="1475"/>
      <c r="K13" s="1449" t="s">
        <v>425</v>
      </c>
      <c r="L13" s="520"/>
      <c r="M13" s="520"/>
      <c r="N13" s="520"/>
      <c r="O13" s="520"/>
      <c r="P13" s="1450"/>
      <c r="Q13" s="1680"/>
      <c r="R13" s="1680"/>
      <c r="S13" s="1680"/>
      <c r="T13" s="1680"/>
      <c r="U13" s="532" t="s">
        <v>698</v>
      </c>
      <c r="V13" s="1155" t="s">
        <v>147</v>
      </c>
      <c r="W13" s="223">
        <v>20</v>
      </c>
      <c r="X13" s="223">
        <v>20</v>
      </c>
      <c r="Y13" s="1302">
        <f>(((X13/W13*100)*AL10)/100)</f>
        <v>100</v>
      </c>
      <c r="Z13" s="1121" t="s">
        <v>1022</v>
      </c>
      <c r="AA13" s="1302">
        <v>0</v>
      </c>
      <c r="AB13" s="223">
        <v>20</v>
      </c>
      <c r="AC13" s="223">
        <v>0</v>
      </c>
      <c r="AD13" s="223">
        <f>(((AC13/AB13*100)*AM12)/100)</f>
        <v>0</v>
      </c>
      <c r="AE13" s="1121" t="s">
        <v>1235</v>
      </c>
      <c r="AF13" s="223">
        <v>50</v>
      </c>
      <c r="AG13" s="223">
        <v>20</v>
      </c>
      <c r="AH13" s="223">
        <v>40</v>
      </c>
      <c r="AI13" s="425">
        <f>+W13+AB13+AG13+AH13</f>
        <v>100</v>
      </c>
      <c r="AJ13" s="223">
        <f>+X13+AC13</f>
        <v>20</v>
      </c>
      <c r="AK13" s="424">
        <f>+AJ13/AI13*100</f>
        <v>20</v>
      </c>
      <c r="AL13" s="1412"/>
      <c r="AM13" s="1412"/>
      <c r="AN13" s="509"/>
      <c r="AO13" s="1530"/>
      <c r="AP13" s="1530"/>
      <c r="AQ13" s="1530">
        <f>SUM(AO13:AP13)</f>
        <v>0</v>
      </c>
      <c r="AR13" s="1507"/>
      <c r="AS13" s="1533"/>
      <c r="AT13" s="1507"/>
      <c r="AU13" s="1420"/>
      <c r="AV13" s="1420"/>
      <c r="AW13" s="1420">
        <f>SUM(AU13:AV13)</f>
        <v>0</v>
      </c>
      <c r="AX13" s="1512"/>
      <c r="AY13" s="1514" t="e">
        <f>+AX13/AR13*100</f>
        <v>#DIV/0!</v>
      </c>
      <c r="AZ13" s="1517"/>
      <c r="BA13" s="1514" t="e">
        <f>+AZ13/AT13*100</f>
        <v>#DIV/0!</v>
      </c>
      <c r="BB13" s="1517"/>
      <c r="BC13" s="1514" t="e">
        <f>+BB13/AY13*100</f>
        <v>#DIV/0!</v>
      </c>
      <c r="BD13" s="1389"/>
      <c r="BE13" s="1389"/>
      <c r="BF13" s="1389"/>
      <c r="BG13" s="1389">
        <f>SUM(BD13:BF13)</f>
        <v>0</v>
      </c>
      <c r="BH13" s="1389"/>
      <c r="BI13" s="1389"/>
      <c r="BJ13" s="1389"/>
      <c r="BK13" s="1389"/>
      <c r="BL13" s="1389"/>
      <c r="BM13" s="1389"/>
      <c r="BN13" s="1389"/>
      <c r="BO13" s="1389"/>
      <c r="BP13" s="1389"/>
      <c r="BQ13" s="1389">
        <f>SUM(BN13:BP13)</f>
        <v>0</v>
      </c>
      <c r="BR13" s="1389"/>
      <c r="BS13" s="1389"/>
      <c r="BT13" s="1389"/>
      <c r="BU13" s="1389">
        <f t="shared" si="1"/>
        <v>0</v>
      </c>
      <c r="BV13" s="1389"/>
      <c r="BW13" s="1389"/>
      <c r="BX13" s="1389"/>
      <c r="BY13" s="1389">
        <f t="shared" si="2"/>
        <v>0</v>
      </c>
      <c r="BZ13" s="1402">
        <f>+AQ13+BQ13+BU13+BY13</f>
        <v>0</v>
      </c>
      <c r="CA13" s="1481"/>
      <c r="CB13" s="1478" t="e">
        <f>+CA13/BX13*100</f>
        <v>#DIV/0!</v>
      </c>
      <c r="CC13" s="1609"/>
      <c r="CD13" s="1736"/>
      <c r="CE13" s="528"/>
      <c r="CF13" s="533"/>
      <c r="CG13" s="529"/>
      <c r="CH13" s="106"/>
      <c r="CI13" s="106"/>
      <c r="CJ13" s="106"/>
      <c r="CK13" s="106"/>
      <c r="CL13" s="522"/>
      <c r="CX13" s="911">
        <f t="shared" si="0"/>
        <v>0</v>
      </c>
      <c r="CY13" s="1010"/>
      <c r="DA13" s="1111"/>
    </row>
    <row r="14" spans="1:105" s="68" customFormat="1" ht="202.5" hidden="1" x14ac:dyDescent="0.2">
      <c r="A14" s="16"/>
      <c r="C14" s="531"/>
      <c r="D14" s="531"/>
      <c r="E14" s="524"/>
      <c r="F14" s="531"/>
      <c r="G14" s="531"/>
      <c r="H14" s="531"/>
      <c r="I14" s="531"/>
      <c r="J14" s="1522"/>
      <c r="K14" s="1451"/>
      <c r="L14" s="521"/>
      <c r="M14" s="521"/>
      <c r="N14" s="521"/>
      <c r="O14" s="521"/>
      <c r="P14" s="1451"/>
      <c r="Q14" s="1685"/>
      <c r="R14" s="1685"/>
      <c r="S14" s="1685"/>
      <c r="T14" s="1685"/>
      <c r="U14" s="532" t="s">
        <v>802</v>
      </c>
      <c r="V14" s="1155" t="s">
        <v>147</v>
      </c>
      <c r="W14" s="223"/>
      <c r="X14" s="223"/>
      <c r="Y14" s="1302"/>
      <c r="Z14" s="1121"/>
      <c r="AA14" s="1302"/>
      <c r="AB14" s="223"/>
      <c r="AC14" s="223">
        <v>0</v>
      </c>
      <c r="AD14" s="223"/>
      <c r="AE14" s="1121" t="s">
        <v>1154</v>
      </c>
      <c r="AF14" s="223">
        <v>20</v>
      </c>
      <c r="AG14" s="223"/>
      <c r="AH14" s="223">
        <v>100</v>
      </c>
      <c r="AI14" s="425">
        <f>+W14+AB14+AG14+AH14</f>
        <v>100</v>
      </c>
      <c r="AJ14" s="1158"/>
      <c r="AK14" s="424">
        <f>+AJ14/AI14*100</f>
        <v>0</v>
      </c>
      <c r="AL14" s="424"/>
      <c r="AM14" s="424"/>
      <c r="AN14" s="538" t="s">
        <v>685</v>
      </c>
      <c r="AO14" s="1531"/>
      <c r="AP14" s="1531"/>
      <c r="AQ14" s="1531">
        <f>SUM(AO14:AP14)</f>
        <v>0</v>
      </c>
      <c r="AR14" s="1508"/>
      <c r="AS14" s="1534"/>
      <c r="AT14" s="1508"/>
      <c r="AU14" s="1421"/>
      <c r="AV14" s="1421"/>
      <c r="AW14" s="1421">
        <f>SUM(AU14:AV14)</f>
        <v>0</v>
      </c>
      <c r="AX14" s="1430"/>
      <c r="AY14" s="1515" t="e">
        <f>+AX14/AR14*100</f>
        <v>#DIV/0!</v>
      </c>
      <c r="AZ14" s="1518"/>
      <c r="BA14" s="1515" t="e">
        <f>+AZ14/AT14*100</f>
        <v>#DIV/0!</v>
      </c>
      <c r="BB14" s="1518"/>
      <c r="BC14" s="1515" t="e">
        <f>+BB14/AY14*100</f>
        <v>#DIV/0!</v>
      </c>
      <c r="BD14" s="1390"/>
      <c r="BE14" s="1390"/>
      <c r="BF14" s="1390">
        <f>SUM(BF12:BF13)</f>
        <v>0</v>
      </c>
      <c r="BG14" s="1390">
        <f>SUM(BD14:BF14)</f>
        <v>0</v>
      </c>
      <c r="BH14" s="1390"/>
      <c r="BI14" s="1390"/>
      <c r="BJ14" s="1390"/>
      <c r="BK14" s="1390"/>
      <c r="BL14" s="1390"/>
      <c r="BM14" s="1390"/>
      <c r="BN14" s="1390"/>
      <c r="BO14" s="1390"/>
      <c r="BP14" s="1390">
        <f>SUM(BP12:BP13)</f>
        <v>0</v>
      </c>
      <c r="BQ14" s="1390">
        <f>SUM(BN14:BP14)</f>
        <v>0</v>
      </c>
      <c r="BR14" s="1390"/>
      <c r="BS14" s="1390"/>
      <c r="BT14" s="1390"/>
      <c r="BU14" s="1390">
        <f t="shared" si="1"/>
        <v>0</v>
      </c>
      <c r="BV14" s="1390"/>
      <c r="BW14" s="1390"/>
      <c r="BX14" s="1390"/>
      <c r="BY14" s="1390">
        <f t="shared" si="2"/>
        <v>0</v>
      </c>
      <c r="BZ14" s="1403">
        <f>+AQ14+BQ14+BU14+BY14</f>
        <v>0</v>
      </c>
      <c r="CA14" s="1482"/>
      <c r="CB14" s="1479" t="e">
        <f>+CA14/BX14*100</f>
        <v>#DIV/0!</v>
      </c>
      <c r="CC14" s="1610"/>
      <c r="CD14" s="1737"/>
      <c r="CE14" s="528"/>
      <c r="CF14" s="533"/>
      <c r="CG14" s="529"/>
      <c r="CH14" s="106"/>
      <c r="CI14" s="106"/>
      <c r="CJ14" s="106"/>
      <c r="CK14" s="106"/>
      <c r="CL14" s="518"/>
      <c r="CX14" s="911">
        <f t="shared" si="0"/>
        <v>0</v>
      </c>
      <c r="CY14" s="1010"/>
      <c r="DA14" s="1068"/>
    </row>
    <row r="15" spans="1:105" s="1" customFormat="1" ht="45" hidden="1" customHeight="1" x14ac:dyDescent="0.2">
      <c r="A15" s="19"/>
      <c r="C15" s="391"/>
      <c r="D15" s="391"/>
      <c r="E15" s="390"/>
      <c r="F15" s="391"/>
      <c r="G15" s="391"/>
      <c r="H15" s="391"/>
      <c r="I15" s="391"/>
      <c r="J15" s="19" t="s">
        <v>826</v>
      </c>
      <c r="K15" s="19"/>
      <c r="L15" s="402"/>
      <c r="M15" s="402"/>
      <c r="N15" s="402">
        <v>15</v>
      </c>
      <c r="O15" s="402">
        <v>15</v>
      </c>
      <c r="P15" s="19"/>
      <c r="Q15" s="128"/>
      <c r="R15" s="128"/>
      <c r="S15" s="128"/>
      <c r="T15" s="128"/>
      <c r="U15" s="19"/>
      <c r="V15" s="165"/>
      <c r="W15" s="1087"/>
      <c r="X15" s="1087"/>
      <c r="Y15" s="1088"/>
      <c r="Z15" s="882"/>
      <c r="AA15" s="879"/>
      <c r="AB15" s="268"/>
      <c r="AC15" s="810"/>
      <c r="AD15" s="902"/>
      <c r="AE15" s="810"/>
      <c r="AF15" s="810"/>
      <c r="AG15" s="268"/>
      <c r="AH15" s="268"/>
      <c r="AI15" s="268">
        <f>SUM(W15:AH15)</f>
        <v>0</v>
      </c>
      <c r="AJ15" s="895"/>
      <c r="AK15" s="422"/>
      <c r="AL15" s="889"/>
      <c r="AM15" s="895"/>
      <c r="AN15" s="399"/>
      <c r="AO15" s="155">
        <f>+AO16</f>
        <v>0</v>
      </c>
      <c r="AP15" s="155">
        <f>+AP16</f>
        <v>0</v>
      </c>
      <c r="AQ15" s="155">
        <f>SUM(AO15:AP15)</f>
        <v>0</v>
      </c>
      <c r="AR15" s="408"/>
      <c r="AS15" s="408"/>
      <c r="AT15" s="408"/>
      <c r="AU15" s="705">
        <f>+AU16</f>
        <v>0</v>
      </c>
      <c r="AV15" s="705">
        <f>+AV16</f>
        <v>0</v>
      </c>
      <c r="AW15" s="705">
        <f>SUM(AU15:AV15)</f>
        <v>0</v>
      </c>
      <c r="AX15" s="773"/>
      <c r="AY15" s="663">
        <v>0</v>
      </c>
      <c r="AZ15" s="664"/>
      <c r="BA15" s="667"/>
      <c r="BB15" s="664"/>
      <c r="BC15" s="663">
        <v>0</v>
      </c>
      <c r="BD15" s="954">
        <f>+BD16</f>
        <v>0</v>
      </c>
      <c r="BE15" s="954">
        <f>+BE16</f>
        <v>0</v>
      </c>
      <c r="BF15" s="954">
        <f>+BF16</f>
        <v>0</v>
      </c>
      <c r="BG15" s="954">
        <f>SUM(BD15:BF15)</f>
        <v>0</v>
      </c>
      <c r="BH15" s="954"/>
      <c r="BI15" s="954"/>
      <c r="BJ15" s="955"/>
      <c r="BK15" s="954"/>
      <c r="BL15" s="955"/>
      <c r="BM15" s="954"/>
      <c r="BN15" s="954">
        <f>+BN16</f>
        <v>0</v>
      </c>
      <c r="BO15" s="954">
        <f>+BO16</f>
        <v>0</v>
      </c>
      <c r="BP15" s="954">
        <f>+BP16</f>
        <v>0</v>
      </c>
      <c r="BQ15" s="954">
        <f>SUM(BN15:BP15)</f>
        <v>0</v>
      </c>
      <c r="BR15" s="954">
        <f>+BR16</f>
        <v>80000000</v>
      </c>
      <c r="BS15" s="954">
        <f>+BS16</f>
        <v>0</v>
      </c>
      <c r="BT15" s="954">
        <f>+BT16</f>
        <v>1800000000</v>
      </c>
      <c r="BU15" s="954">
        <f t="shared" si="1"/>
        <v>1880000000</v>
      </c>
      <c r="BV15" s="954">
        <f>+BV16</f>
        <v>100000000</v>
      </c>
      <c r="BW15" s="954">
        <f>+BW16</f>
        <v>0</v>
      </c>
      <c r="BX15" s="954">
        <f>+BX16</f>
        <v>1800000000</v>
      </c>
      <c r="BY15" s="954">
        <f t="shared" si="2"/>
        <v>1900000000</v>
      </c>
      <c r="BZ15" s="956">
        <f>+AW15+BG15+BU15+BY15</f>
        <v>3780000000</v>
      </c>
      <c r="CA15" s="956"/>
      <c r="CB15" s="955">
        <f>+CA15/BZ15*100</f>
        <v>0</v>
      </c>
      <c r="CC15" s="694"/>
      <c r="CD15" s="663"/>
      <c r="CE15" s="198"/>
      <c r="CF15" s="193">
        <f>+BZ16</f>
        <v>3780000000</v>
      </c>
      <c r="CG15" s="238"/>
      <c r="CH15" s="7"/>
      <c r="CI15" s="269"/>
      <c r="CL15" s="197"/>
      <c r="CX15" s="911">
        <f t="shared" si="0"/>
        <v>0</v>
      </c>
      <c r="CY15" s="1008"/>
      <c r="DA15" s="1066"/>
    </row>
    <row r="16" spans="1:105" s="1" customFormat="1" ht="50.1" hidden="1" customHeight="1" x14ac:dyDescent="0.2">
      <c r="A16" s="42"/>
      <c r="C16" s="154"/>
      <c r="D16" s="154"/>
      <c r="E16" s="390"/>
      <c r="F16" s="154"/>
      <c r="G16" s="154"/>
      <c r="H16" s="154"/>
      <c r="I16" s="154"/>
      <c r="J16" s="253"/>
      <c r="K16" s="250" t="s">
        <v>421</v>
      </c>
      <c r="L16" s="41"/>
      <c r="M16" s="41"/>
      <c r="N16" s="41"/>
      <c r="O16" s="41"/>
      <c r="P16" s="236" t="s">
        <v>561</v>
      </c>
      <c r="Q16" s="10"/>
      <c r="R16" s="10"/>
      <c r="S16" s="396">
        <v>100</v>
      </c>
      <c r="T16" s="396">
        <v>100</v>
      </c>
      <c r="U16" s="41" t="s">
        <v>771</v>
      </c>
      <c r="V16" s="167" t="s">
        <v>147</v>
      </c>
      <c r="W16" s="804"/>
      <c r="X16" s="804"/>
      <c r="Y16" s="1089"/>
      <c r="Z16" s="881"/>
      <c r="AA16" s="880"/>
      <c r="AB16" s="187"/>
      <c r="AC16" s="811"/>
      <c r="AD16" s="903"/>
      <c r="AE16" s="811"/>
      <c r="AF16" s="811"/>
      <c r="AG16" s="187">
        <v>100</v>
      </c>
      <c r="AH16" s="187">
        <v>100</v>
      </c>
      <c r="AI16" s="187">
        <v>100</v>
      </c>
      <c r="AJ16" s="1100"/>
      <c r="AK16" s="419">
        <f>+AJ16/AI16*100</f>
        <v>0</v>
      </c>
      <c r="AL16" s="888"/>
      <c r="AM16" s="894"/>
      <c r="AN16" s="394" t="s">
        <v>772</v>
      </c>
      <c r="AO16" s="256"/>
      <c r="AP16" s="256"/>
      <c r="AQ16" s="256"/>
      <c r="AR16" s="410"/>
      <c r="AS16" s="410"/>
      <c r="AT16" s="409">
        <f>+SUM(AR16:AS16)</f>
        <v>0</v>
      </c>
      <c r="AU16" s="707"/>
      <c r="AV16" s="707"/>
      <c r="AW16" s="707"/>
      <c r="AX16" s="774"/>
      <c r="AY16" s="668">
        <v>0</v>
      </c>
      <c r="AZ16" s="669"/>
      <c r="BA16" s="668">
        <v>0</v>
      </c>
      <c r="BB16" s="669"/>
      <c r="BC16" s="668">
        <v>0</v>
      </c>
      <c r="BD16" s="957"/>
      <c r="BE16" s="957"/>
      <c r="BF16" s="957"/>
      <c r="BG16" s="957"/>
      <c r="BH16" s="957"/>
      <c r="BI16" s="957"/>
      <c r="BJ16" s="958"/>
      <c r="BK16" s="957"/>
      <c r="BL16" s="958"/>
      <c r="BM16" s="957"/>
      <c r="BN16" s="957"/>
      <c r="BO16" s="957"/>
      <c r="BP16" s="957"/>
      <c r="BQ16" s="957"/>
      <c r="BR16" s="959">
        <v>80000000</v>
      </c>
      <c r="BS16" s="959"/>
      <c r="BT16" s="959">
        <v>1800000000</v>
      </c>
      <c r="BU16" s="959">
        <f t="shared" si="1"/>
        <v>1880000000</v>
      </c>
      <c r="BV16" s="959">
        <v>100000000</v>
      </c>
      <c r="BW16" s="959"/>
      <c r="BX16" s="959">
        <v>1800000000</v>
      </c>
      <c r="BY16" s="959">
        <f t="shared" si="2"/>
        <v>1900000000</v>
      </c>
      <c r="BZ16" s="960">
        <f>+AW16+BG16+BU16+BY16</f>
        <v>3780000000</v>
      </c>
      <c r="CA16" s="961"/>
      <c r="CB16" s="962">
        <f>+CA16/BZ16*100</f>
        <v>0</v>
      </c>
      <c r="CC16" s="696"/>
      <c r="CD16" s="671"/>
      <c r="CE16" s="193"/>
      <c r="CF16" s="193"/>
      <c r="CG16" s="118"/>
      <c r="CH16" s="3"/>
      <c r="CI16" s="249"/>
      <c r="CL16" s="252"/>
      <c r="CX16" s="911">
        <f t="shared" si="0"/>
        <v>0</v>
      </c>
      <c r="CY16" s="1008"/>
      <c r="DA16" s="1066"/>
    </row>
    <row r="17" spans="1:106" s="830" customFormat="1" ht="99.75" customHeight="1" x14ac:dyDescent="0.2">
      <c r="A17" s="836"/>
      <c r="C17" s="837"/>
      <c r="D17" s="837"/>
      <c r="E17" s="832"/>
      <c r="F17" s="837"/>
      <c r="G17" s="837"/>
      <c r="H17" s="837"/>
      <c r="I17" s="837"/>
      <c r="J17" s="1212" t="s">
        <v>827</v>
      </c>
      <c r="K17" s="1213"/>
      <c r="L17" s="1213"/>
      <c r="M17" s="1214">
        <v>20</v>
      </c>
      <c r="N17" s="1214">
        <v>15</v>
      </c>
      <c r="O17" s="1214">
        <v>15</v>
      </c>
      <c r="P17" s="1213"/>
      <c r="Q17" s="1215"/>
      <c r="R17" s="1215"/>
      <c r="S17" s="1215"/>
      <c r="T17" s="1215"/>
      <c r="U17" s="1216"/>
      <c r="V17" s="1217"/>
      <c r="W17" s="1218"/>
      <c r="X17" s="1218"/>
      <c r="Y17" s="1215"/>
      <c r="Z17" s="1219"/>
      <c r="AA17" s="1215"/>
      <c r="AB17" s="1218"/>
      <c r="AC17" s="1218"/>
      <c r="AD17" s="1203">
        <f>(((AD18)*AM17/100))</f>
        <v>0</v>
      </c>
      <c r="AE17" s="1218"/>
      <c r="AF17" s="1203">
        <f>+AF18</f>
        <v>25</v>
      </c>
      <c r="AG17" s="1218"/>
      <c r="AH17" s="1218"/>
      <c r="AI17" s="1218"/>
      <c r="AJ17" s="1215"/>
      <c r="AK17" s="1380">
        <v>0</v>
      </c>
      <c r="AL17" s="1215"/>
      <c r="AM17" s="1215">
        <v>20</v>
      </c>
      <c r="AN17" s="1220"/>
      <c r="AO17" s="838">
        <f>+AO18</f>
        <v>0</v>
      </c>
      <c r="AP17" s="838">
        <f>+AP18</f>
        <v>0</v>
      </c>
      <c r="AQ17" s="838">
        <f>SUM(AO17:AP17)</f>
        <v>0</v>
      </c>
      <c r="AR17" s="839"/>
      <c r="AS17" s="839"/>
      <c r="AT17" s="839"/>
      <c r="AU17" s="840">
        <f>+AU18</f>
        <v>0</v>
      </c>
      <c r="AV17" s="840">
        <f>+AV18</f>
        <v>0</v>
      </c>
      <c r="AW17" s="840">
        <f>SUM(AU17:AV17)</f>
        <v>0</v>
      </c>
      <c r="AX17" s="841"/>
      <c r="AY17" s="842">
        <v>0</v>
      </c>
      <c r="AZ17" s="843"/>
      <c r="BA17" s="842">
        <v>0</v>
      </c>
      <c r="BB17" s="843"/>
      <c r="BC17" s="842">
        <v>0</v>
      </c>
      <c r="BD17" s="963">
        <f>+BD18</f>
        <v>150000000</v>
      </c>
      <c r="BE17" s="963">
        <f>+BE18</f>
        <v>0</v>
      </c>
      <c r="BF17" s="963">
        <f>+BF18</f>
        <v>0</v>
      </c>
      <c r="BG17" s="963">
        <f>SUM(BD17:BF17)</f>
        <v>150000000</v>
      </c>
      <c r="BH17" s="963">
        <f>+BH18</f>
        <v>0</v>
      </c>
      <c r="BI17" s="963">
        <f>+BH17/BG17*100</f>
        <v>0</v>
      </c>
      <c r="BJ17" s="963">
        <f>+BJ18</f>
        <v>0</v>
      </c>
      <c r="BK17" s="963">
        <f t="shared" ref="BK17:BK22" si="3">+BJ17/BG17*100</f>
        <v>0</v>
      </c>
      <c r="BL17" s="963">
        <f>+BL18</f>
        <v>0</v>
      </c>
      <c r="BM17" s="963">
        <f t="shared" ref="BM17:BM22" si="4">+BL17/BG17*100</f>
        <v>0</v>
      </c>
      <c r="BN17" s="963">
        <f>+BN18</f>
        <v>150000000</v>
      </c>
      <c r="BO17" s="963">
        <f>+BO18</f>
        <v>0</v>
      </c>
      <c r="BP17" s="963">
        <f>+BP18</f>
        <v>0</v>
      </c>
      <c r="BQ17" s="963">
        <f>SUM(BN17:BP17)</f>
        <v>150000000</v>
      </c>
      <c r="BR17" s="963">
        <f>+BR18</f>
        <v>150000000</v>
      </c>
      <c r="BS17" s="963">
        <f>+BS18</f>
        <v>0</v>
      </c>
      <c r="BT17" s="963">
        <f>+BT18</f>
        <v>0</v>
      </c>
      <c r="BU17" s="963">
        <f t="shared" si="1"/>
        <v>150000000</v>
      </c>
      <c r="BV17" s="963">
        <f>+BV18</f>
        <v>78496138</v>
      </c>
      <c r="BW17" s="963">
        <f>+BW18</f>
        <v>0</v>
      </c>
      <c r="BX17" s="963">
        <f>+BX18</f>
        <v>0</v>
      </c>
      <c r="BY17" s="963">
        <f t="shared" si="2"/>
        <v>78496138</v>
      </c>
      <c r="BZ17" s="963">
        <f>+BZ18</f>
        <v>378496138</v>
      </c>
      <c r="CA17" s="963">
        <f>+CA18</f>
        <v>0</v>
      </c>
      <c r="CB17" s="949">
        <f>+CA17/BZ17*100</f>
        <v>0</v>
      </c>
      <c r="CC17" s="844"/>
      <c r="CD17" s="825"/>
      <c r="CE17" s="828"/>
      <c r="CF17" s="834">
        <f>+BZ18</f>
        <v>378496138</v>
      </c>
      <c r="CG17" s="845"/>
      <c r="CH17" s="846"/>
      <c r="CI17" s="847"/>
      <c r="CL17" s="838"/>
      <c r="CX17" s="911">
        <f t="shared" si="0"/>
        <v>0</v>
      </c>
      <c r="CY17" s="1009"/>
      <c r="DA17" s="1067"/>
    </row>
    <row r="18" spans="1:106" s="1" customFormat="1" ht="90" x14ac:dyDescent="0.2">
      <c r="A18" s="132"/>
      <c r="C18" s="154"/>
      <c r="D18" s="154"/>
      <c r="E18" s="390"/>
      <c r="F18" s="154"/>
      <c r="G18" s="154"/>
      <c r="H18" s="154"/>
      <c r="I18" s="154"/>
      <c r="J18" s="1686"/>
      <c r="K18" s="1688" t="s">
        <v>833</v>
      </c>
      <c r="L18" s="392"/>
      <c r="M18" s="392"/>
      <c r="N18" s="392"/>
      <c r="O18" s="392"/>
      <c r="P18" s="1449" t="s">
        <v>821</v>
      </c>
      <c r="Q18" s="44"/>
      <c r="R18" s="44"/>
      <c r="S18" s="44"/>
      <c r="T18" s="44"/>
      <c r="U18" s="1306" t="s">
        <v>822</v>
      </c>
      <c r="V18" s="1307" t="s">
        <v>147</v>
      </c>
      <c r="W18" s="1157"/>
      <c r="X18" s="1157"/>
      <c r="Y18" s="1157"/>
      <c r="Z18" s="1308"/>
      <c r="AA18" s="1157"/>
      <c r="AB18" s="1142">
        <v>100</v>
      </c>
      <c r="AC18" s="1142">
        <v>0</v>
      </c>
      <c r="AD18" s="223">
        <f>(((AC18/AB18*100)*AM18)/100)</f>
        <v>0</v>
      </c>
      <c r="AE18" s="1309" t="s">
        <v>1197</v>
      </c>
      <c r="AF18" s="1142">
        <v>25</v>
      </c>
      <c r="AG18" s="1142">
        <v>100</v>
      </c>
      <c r="AH18" s="1142">
        <v>100</v>
      </c>
      <c r="AI18" s="1142">
        <v>100</v>
      </c>
      <c r="AJ18" s="1157">
        <f>+AD18</f>
        <v>0</v>
      </c>
      <c r="AK18" s="424">
        <f>+AJ18/AI18*100</f>
        <v>0</v>
      </c>
      <c r="AL18" s="424"/>
      <c r="AM18" s="424">
        <v>100</v>
      </c>
      <c r="AN18" s="506"/>
      <c r="AO18" s="1690"/>
      <c r="AP18" s="1690"/>
      <c r="AQ18" s="1690"/>
      <c r="AR18" s="1692"/>
      <c r="AS18" s="1692"/>
      <c r="AT18" s="1693"/>
      <c r="AU18" s="1681"/>
      <c r="AV18" s="1681"/>
      <c r="AW18" s="1681"/>
      <c r="AX18" s="1683">
        <v>0</v>
      </c>
      <c r="AY18" s="1678"/>
      <c r="AZ18" s="1676"/>
      <c r="BA18" s="1678"/>
      <c r="BB18" s="1676"/>
      <c r="BC18" s="1678"/>
      <c r="BD18" s="1395">
        <v>150000000</v>
      </c>
      <c r="BE18" s="1395"/>
      <c r="BF18" s="1395"/>
      <c r="BG18" s="1395">
        <f>SUM(BD18:BF18)</f>
        <v>150000000</v>
      </c>
      <c r="BH18" s="1031">
        <v>0</v>
      </c>
      <c r="BI18" s="1031">
        <f>+BH18/BG18*100</f>
        <v>0</v>
      </c>
      <c r="BJ18" s="1039"/>
      <c r="BK18" s="1031">
        <f t="shared" si="3"/>
        <v>0</v>
      </c>
      <c r="BL18" s="1039"/>
      <c r="BM18" s="964">
        <f t="shared" si="4"/>
        <v>0</v>
      </c>
      <c r="BN18" s="1395">
        <v>150000000</v>
      </c>
      <c r="BO18" s="1395"/>
      <c r="BP18" s="1395"/>
      <c r="BQ18" s="1395">
        <f>SUM(BN18:BP18)</f>
        <v>150000000</v>
      </c>
      <c r="BR18" s="1395">
        <v>150000000</v>
      </c>
      <c r="BS18" s="1395"/>
      <c r="BT18" s="1395"/>
      <c r="BU18" s="1395">
        <f t="shared" si="1"/>
        <v>150000000</v>
      </c>
      <c r="BV18" s="1395">
        <f>70000000+8496138</f>
        <v>78496138</v>
      </c>
      <c r="BW18" s="1395"/>
      <c r="BX18" s="1395"/>
      <c r="BY18" s="1395">
        <f t="shared" si="2"/>
        <v>78496138</v>
      </c>
      <c r="BZ18" s="1401">
        <f>+AW18+BG18+BU18+BY18</f>
        <v>378496138</v>
      </c>
      <c r="CA18" s="1747">
        <f>+BH18+AX18</f>
        <v>0</v>
      </c>
      <c r="CB18" s="1751">
        <f>+CA18/BZ18*100</f>
        <v>0</v>
      </c>
      <c r="CC18" s="1540"/>
      <c r="CD18" s="1738"/>
      <c r="CE18" s="332"/>
      <c r="CF18" s="193"/>
      <c r="CG18" s="118"/>
      <c r="CH18" s="3"/>
      <c r="CI18" s="249"/>
      <c r="CL18" s="656"/>
      <c r="CX18" s="911">
        <f t="shared" si="0"/>
        <v>0</v>
      </c>
      <c r="CY18" s="1008"/>
      <c r="DA18" s="1102"/>
    </row>
    <row r="19" spans="1:106" s="1" customFormat="1" ht="30" hidden="1" customHeight="1" x14ac:dyDescent="0.2">
      <c r="A19" s="294"/>
      <c r="C19" s="153"/>
      <c r="D19" s="153"/>
      <c r="E19" s="389"/>
      <c r="F19" s="153"/>
      <c r="G19" s="153"/>
      <c r="H19" s="153"/>
      <c r="I19" s="153"/>
      <c r="J19" s="1687"/>
      <c r="K19" s="1689"/>
      <c r="L19" s="393"/>
      <c r="M19" s="393"/>
      <c r="N19" s="393"/>
      <c r="O19" s="393"/>
      <c r="P19" s="1451"/>
      <c r="Q19" s="1157"/>
      <c r="R19" s="1157"/>
      <c r="S19" s="1157"/>
      <c r="T19" s="1157"/>
      <c r="U19" s="599" t="s">
        <v>565</v>
      </c>
      <c r="V19" s="599" t="s">
        <v>137</v>
      </c>
      <c r="W19" s="425"/>
      <c r="X19" s="425"/>
      <c r="Y19" s="1156"/>
      <c r="Z19" s="506"/>
      <c r="AA19" s="1156"/>
      <c r="AB19" s="425"/>
      <c r="AC19" s="425"/>
      <c r="AD19" s="425"/>
      <c r="AE19" s="425"/>
      <c r="AF19" s="425"/>
      <c r="AG19" s="425"/>
      <c r="AH19" s="425">
        <v>1</v>
      </c>
      <c r="AI19" s="425">
        <f>+W19+AB19+AG19+AH19</f>
        <v>1</v>
      </c>
      <c r="AJ19" s="424"/>
      <c r="AK19" s="424">
        <f>+AJ19/AI19*100</f>
        <v>0</v>
      </c>
      <c r="AL19" s="1310"/>
      <c r="AM19" s="1310"/>
      <c r="AN19" s="1311"/>
      <c r="AO19" s="1691"/>
      <c r="AP19" s="1691"/>
      <c r="AQ19" s="1691"/>
      <c r="AR19" s="1693"/>
      <c r="AS19" s="1693"/>
      <c r="AT19" s="1694"/>
      <c r="AU19" s="1682"/>
      <c r="AV19" s="1682"/>
      <c r="AW19" s="1682"/>
      <c r="AX19" s="1684"/>
      <c r="AY19" s="1679"/>
      <c r="AZ19" s="1677"/>
      <c r="BA19" s="1679"/>
      <c r="BB19" s="1677"/>
      <c r="BC19" s="1679"/>
      <c r="BD19" s="1388"/>
      <c r="BE19" s="1388"/>
      <c r="BF19" s="1388"/>
      <c r="BG19" s="1388"/>
      <c r="BH19" s="1022"/>
      <c r="BI19" s="1022" t="e">
        <f>+BH19/BG19*100</f>
        <v>#DIV/0!</v>
      </c>
      <c r="BJ19" s="1040"/>
      <c r="BK19" s="1022" t="e">
        <f t="shared" si="3"/>
        <v>#DIV/0!</v>
      </c>
      <c r="BL19" s="1040"/>
      <c r="BM19" s="950" t="e">
        <f t="shared" si="4"/>
        <v>#DIV/0!</v>
      </c>
      <c r="BN19" s="1388"/>
      <c r="BO19" s="1388"/>
      <c r="BP19" s="1388"/>
      <c r="BQ19" s="1388"/>
      <c r="BR19" s="1388"/>
      <c r="BS19" s="1388"/>
      <c r="BT19" s="1388"/>
      <c r="BU19" s="1388"/>
      <c r="BV19" s="1388"/>
      <c r="BW19" s="1388"/>
      <c r="BX19" s="1388"/>
      <c r="BY19" s="1388"/>
      <c r="BZ19" s="1403"/>
      <c r="CA19" s="1748"/>
      <c r="CB19" s="1752"/>
      <c r="CC19" s="1497"/>
      <c r="CD19" s="1739"/>
      <c r="CE19" s="332"/>
      <c r="CF19" s="193"/>
      <c r="CG19" s="118"/>
      <c r="CH19" s="3"/>
      <c r="CI19" s="249"/>
      <c r="CL19" s="657"/>
      <c r="CX19" s="911">
        <f t="shared" si="0"/>
        <v>0</v>
      </c>
      <c r="CY19" s="1008"/>
      <c r="DA19" s="1066"/>
    </row>
    <row r="20" spans="1:106" s="1" customFormat="1" ht="97.9" customHeight="1" x14ac:dyDescent="0.2">
      <c r="A20" s="315"/>
      <c r="C20" s="304" t="s">
        <v>666</v>
      </c>
      <c r="D20" s="315" t="s">
        <v>672</v>
      </c>
      <c r="E20" s="303" t="s">
        <v>849</v>
      </c>
      <c r="F20" s="309">
        <v>10</v>
      </c>
      <c r="G20" s="309">
        <v>10</v>
      </c>
      <c r="H20" s="309">
        <v>10</v>
      </c>
      <c r="I20" s="309">
        <v>10</v>
      </c>
      <c r="J20" s="1161"/>
      <c r="K20" s="1161"/>
      <c r="L20" s="1161"/>
      <c r="M20" s="1161"/>
      <c r="N20" s="1161"/>
      <c r="O20" s="1161"/>
      <c r="P20" s="1161"/>
      <c r="Q20" s="1162"/>
      <c r="R20" s="1162"/>
      <c r="S20" s="1162"/>
      <c r="T20" s="1162"/>
      <c r="U20" s="1162"/>
      <c r="V20" s="1163"/>
      <c r="W20" s="1164"/>
      <c r="X20" s="1164"/>
      <c r="Y20" s="1165">
        <f>(((Y21+Y28+Y34+Y39)*AL20)/100)</f>
        <v>8.5625</v>
      </c>
      <c r="Z20" s="1166"/>
      <c r="AA20" s="1165">
        <f>(((AA21+AA28+AA34+AA39)*AL20)/100)</f>
        <v>5.4839285714285708</v>
      </c>
      <c r="AB20" s="1164"/>
      <c r="AC20" s="1164"/>
      <c r="AD20" s="1167">
        <f>(((AD21+AD28+AD34+AD39)*AM20)/100)</f>
        <v>2.2860902777777783</v>
      </c>
      <c r="AE20" s="1164"/>
      <c r="AF20" s="1167">
        <f>(AF21+AF28+AF34+AF39)/4</f>
        <v>41.495089285714286</v>
      </c>
      <c r="AG20" s="1164"/>
      <c r="AH20" s="1164"/>
      <c r="AI20" s="1164"/>
      <c r="AJ20" s="1165"/>
      <c r="AK20" s="1165">
        <f>((AK21+AK28+AK34+AK39)/4)</f>
        <v>31.761443140193137</v>
      </c>
      <c r="AL20" s="1165">
        <f>+F20</f>
        <v>10</v>
      </c>
      <c r="AM20" s="1165">
        <v>10</v>
      </c>
      <c r="AN20" s="1168"/>
      <c r="AO20" s="318">
        <f>+AO28+AO21+AO34+AO39</f>
        <v>556738427</v>
      </c>
      <c r="AP20" s="318">
        <f>+AP28+AP21+AP34+AP39</f>
        <v>0</v>
      </c>
      <c r="AQ20" s="318">
        <f>SUM(AO20:AP20)</f>
        <v>556738427</v>
      </c>
      <c r="AR20" s="407">
        <f>+AR28+AR21+AR34+AR39</f>
        <v>621415189</v>
      </c>
      <c r="AS20" s="407">
        <f>+AS28+AS21+AS34+AS39</f>
        <v>0</v>
      </c>
      <c r="AT20" s="407">
        <f>+AT28+AT21+AT34+AT39</f>
        <v>621415189</v>
      </c>
      <c r="AU20" s="704">
        <f>+AU28+AU21+AU34+AU39</f>
        <v>771615189</v>
      </c>
      <c r="AV20" s="704">
        <f>+AV28+AV21+AV34+AV39</f>
        <v>0</v>
      </c>
      <c r="AW20" s="704">
        <f>SUM(AU20:AV20)</f>
        <v>771615189</v>
      </c>
      <c r="AX20" s="717">
        <f>+AX28+AX21+AX34+AX39</f>
        <v>700396332</v>
      </c>
      <c r="AY20" s="661">
        <f>+AX20/AW20*100</f>
        <v>90.770158750724121</v>
      </c>
      <c r="AZ20" s="662">
        <f>+AZ28+AZ21+AZ34+AZ39</f>
        <v>464814612</v>
      </c>
      <c r="BA20" s="661">
        <f>+AZ20/AW20*100</f>
        <v>60.239173441154229</v>
      </c>
      <c r="BB20" s="662">
        <f>+BB28+BB21+BB34+BB39</f>
        <v>464207284</v>
      </c>
      <c r="BC20" s="661">
        <f>+BB20/AW20*100</f>
        <v>60.160464777994413</v>
      </c>
      <c r="BD20" s="944">
        <f>+BD28+BD21+BD34+BD39</f>
        <v>677319999.99800003</v>
      </c>
      <c r="BE20" s="944">
        <f>+BE28+BE21+BE34+BE39</f>
        <v>0</v>
      </c>
      <c r="BF20" s="944">
        <f>+BF28+BF21+BF34+BF39</f>
        <v>0</v>
      </c>
      <c r="BG20" s="944">
        <f>SUM(BD20:BF20)</f>
        <v>677319999.99800003</v>
      </c>
      <c r="BH20" s="944">
        <f>+BH28+BH21+BH34+BH39</f>
        <v>400453470</v>
      </c>
      <c r="BI20" s="944">
        <f>+BH20/BG20*100</f>
        <v>59.12323126456954</v>
      </c>
      <c r="BJ20" s="944">
        <f>+BJ28+BJ21+BJ34+BJ39</f>
        <v>109306534</v>
      </c>
      <c r="BK20" s="944">
        <f t="shared" si="3"/>
        <v>16.138093368027338</v>
      </c>
      <c r="BL20" s="944">
        <f>+BL28+BL21+BL34+BL39</f>
        <v>109306534</v>
      </c>
      <c r="BM20" s="944">
        <f t="shared" si="4"/>
        <v>16.138093368027338</v>
      </c>
      <c r="BN20" s="944">
        <f>+BN28+BN21+BN34+BN39</f>
        <v>639700000</v>
      </c>
      <c r="BO20" s="944">
        <f>+BO28+BO21+BO34+BO39</f>
        <v>0</v>
      </c>
      <c r="BP20" s="944">
        <f>+BP28+BP21+BP34+BP39</f>
        <v>0</v>
      </c>
      <c r="BQ20" s="944">
        <f>SUM(BN20:BP20)</f>
        <v>639700000</v>
      </c>
      <c r="BR20" s="944">
        <f>+BR28+BR21+BR34+BR39</f>
        <v>643400000</v>
      </c>
      <c r="BS20" s="944">
        <f>+BS28+BS21+BS34+BS39</f>
        <v>0</v>
      </c>
      <c r="BT20" s="944">
        <f>+BT28+BT21+BT34+BT39</f>
        <v>0</v>
      </c>
      <c r="BU20" s="944">
        <f>SUM(BR20:BT20)</f>
        <v>643400000</v>
      </c>
      <c r="BV20" s="944">
        <f>+BV28+BV21+BV34+BV39</f>
        <v>717400000</v>
      </c>
      <c r="BW20" s="944">
        <f>+BW28+BW21+BW34+BW39</f>
        <v>0</v>
      </c>
      <c r="BX20" s="944">
        <f>+BX28+BX21+BX34+BX39</f>
        <v>0</v>
      </c>
      <c r="BY20" s="944">
        <f>SUM(BV20:BX20)</f>
        <v>717400000</v>
      </c>
      <c r="BZ20" s="965">
        <f>+BZ28+BZ21+BZ34+BZ39</f>
        <v>2809735188.9980001</v>
      </c>
      <c r="CA20" s="965">
        <f>+CA28+CA21+CA34+CA39</f>
        <v>1100849802</v>
      </c>
      <c r="CB20" s="946">
        <f>+CA20/BZ20*100</f>
        <v>39.179841798279284</v>
      </c>
      <c r="CC20" s="698"/>
      <c r="CD20" s="661"/>
      <c r="CE20" s="334" t="e">
        <f>+BZ20/#REF!*100</f>
        <v>#REF!</v>
      </c>
      <c r="CF20" s="198"/>
      <c r="CG20" s="238"/>
      <c r="CH20" s="7"/>
      <c r="CI20" s="7"/>
      <c r="CJ20" s="7"/>
      <c r="CK20" s="7"/>
      <c r="CL20" s="197"/>
      <c r="CX20" s="911">
        <f t="shared" si="0"/>
        <v>37619999.998000026</v>
      </c>
      <c r="CY20" s="1008"/>
      <c r="DA20" s="1066"/>
    </row>
    <row r="21" spans="1:106" s="830" customFormat="1" ht="40.5" customHeight="1" x14ac:dyDescent="0.2">
      <c r="A21" s="819" t="s">
        <v>29</v>
      </c>
      <c r="C21" s="848"/>
      <c r="D21" s="848"/>
      <c r="E21" s="848"/>
      <c r="F21" s="848"/>
      <c r="G21" s="848"/>
      <c r="H21" s="848"/>
      <c r="I21" s="848"/>
      <c r="J21" s="1205" t="s">
        <v>850</v>
      </c>
      <c r="K21" s="1205"/>
      <c r="L21" s="1204">
        <v>25</v>
      </c>
      <c r="M21" s="1204">
        <v>25</v>
      </c>
      <c r="N21" s="1204">
        <v>25</v>
      </c>
      <c r="O21" s="1204">
        <v>25</v>
      </c>
      <c r="P21" s="1205"/>
      <c r="Q21" s="1205"/>
      <c r="R21" s="1205"/>
      <c r="S21" s="1205"/>
      <c r="T21" s="1205"/>
      <c r="U21" s="1205"/>
      <c r="V21" s="1207"/>
      <c r="W21" s="1203"/>
      <c r="X21" s="1203"/>
      <c r="Y21" s="1203">
        <f>(((((Y22+Y23+Y24+Y25)/4)+Y26)*AL21)/100)</f>
        <v>23.125</v>
      </c>
      <c r="Z21" s="1203"/>
      <c r="AA21" s="1203">
        <f>((((AA22+AA23+AA24+AA25+AA26)/5)*AL21)/100)</f>
        <v>12.875</v>
      </c>
      <c r="AB21" s="1203"/>
      <c r="AC21" s="1203"/>
      <c r="AD21" s="1221">
        <f>((((AD22+AD23+AD24+AD25+AD26+AD27)/6)*AM21)/100)</f>
        <v>2.4486111111111111</v>
      </c>
      <c r="AE21" s="1203"/>
      <c r="AF21" s="1221">
        <f>((((AF22+AF23+AF24+AF25+AF26+AF27)/6)))</f>
        <v>36</v>
      </c>
      <c r="AG21" s="1203"/>
      <c r="AH21" s="1203"/>
      <c r="AI21" s="1203"/>
      <c r="AJ21" s="1203"/>
      <c r="AK21" s="1203">
        <f>((AK22+AK23+AK24+AK25+AK26)/5)</f>
        <v>29.804545454545451</v>
      </c>
      <c r="AL21" s="1203">
        <f>+L21</f>
        <v>25</v>
      </c>
      <c r="AM21" s="1203">
        <v>25</v>
      </c>
      <c r="AN21" s="1203"/>
      <c r="AO21" s="821">
        <f>SUM(AO22:AO27)</f>
        <v>91738427</v>
      </c>
      <c r="AP21" s="821">
        <f>SUM(AP22:AP27)</f>
        <v>0</v>
      </c>
      <c r="AQ21" s="821">
        <f>SUM(AO21:AP21)</f>
        <v>91738427</v>
      </c>
      <c r="AR21" s="822">
        <f>+AR22+AR26</f>
        <v>91738427</v>
      </c>
      <c r="AS21" s="822">
        <f>+AS22+AS26</f>
        <v>0</v>
      </c>
      <c r="AT21" s="822">
        <f>+AT22+AT26</f>
        <v>91738427</v>
      </c>
      <c r="AU21" s="823">
        <f>SUM(AU22:AU27)</f>
        <v>191738427</v>
      </c>
      <c r="AV21" s="823">
        <f>SUM(AV22:AV27)</f>
        <v>0</v>
      </c>
      <c r="AW21" s="823">
        <f>SUM(AU21:AV21)</f>
        <v>191738427</v>
      </c>
      <c r="AX21" s="824">
        <f>+AX22+AX26</f>
        <v>171980801</v>
      </c>
      <c r="AY21" s="825">
        <f>+AX21/AW21*100</f>
        <v>89.695531402268159</v>
      </c>
      <c r="AZ21" s="826">
        <f>+AZ22+AZ26</f>
        <v>54732309</v>
      </c>
      <c r="BA21" s="825">
        <f>+AZ21/AW21*100</f>
        <v>28.545299894423355</v>
      </c>
      <c r="BB21" s="826">
        <f>+BB22+BB26</f>
        <v>54732309</v>
      </c>
      <c r="BC21" s="825">
        <f>+BB21/AW21*100</f>
        <v>28.545299894423355</v>
      </c>
      <c r="BD21" s="947">
        <f>SUM(BD22:BD27)</f>
        <v>158919000</v>
      </c>
      <c r="BE21" s="947">
        <f>SUM(BE22:BE27)</f>
        <v>0</v>
      </c>
      <c r="BF21" s="947">
        <f>SUM(BF22:BF27)</f>
        <v>0</v>
      </c>
      <c r="BG21" s="947">
        <f>SUM(BD21:BF21)</f>
        <v>158919000</v>
      </c>
      <c r="BH21" s="947">
        <f>SUM(BH22:BH27)</f>
        <v>63595168</v>
      </c>
      <c r="BI21" s="947">
        <f>+BH21/BG21*100</f>
        <v>40.01734720203374</v>
      </c>
      <c r="BJ21" s="947">
        <f>SUM(BJ22:BJ27)</f>
        <v>25149034</v>
      </c>
      <c r="BK21" s="947">
        <f t="shared" si="3"/>
        <v>15.825064340953569</v>
      </c>
      <c r="BL21" s="947">
        <f>SUM(BL22:BL27)</f>
        <v>25149034</v>
      </c>
      <c r="BM21" s="947">
        <f t="shared" si="4"/>
        <v>15.825064340953569</v>
      </c>
      <c r="BN21" s="947">
        <f>SUM(BN22:BN27)</f>
        <v>138400000</v>
      </c>
      <c r="BO21" s="947">
        <f>SUM(BO22:BO27)</f>
        <v>0</v>
      </c>
      <c r="BP21" s="947">
        <f>SUM(BP22:BP27)</f>
        <v>0</v>
      </c>
      <c r="BQ21" s="947">
        <f>SUM(BN21:BP21)</f>
        <v>138400000</v>
      </c>
      <c r="BR21" s="947">
        <f>SUM(BR22:BR27)</f>
        <v>138400000</v>
      </c>
      <c r="BS21" s="947">
        <f>SUM(BS22:BS27)</f>
        <v>0</v>
      </c>
      <c r="BT21" s="947">
        <f>SUM(BT22:BT27)</f>
        <v>0</v>
      </c>
      <c r="BU21" s="947">
        <f>SUM(BR21:BT21)</f>
        <v>138400000</v>
      </c>
      <c r="BV21" s="947">
        <f>SUM(BV22:BV27)</f>
        <v>138400000</v>
      </c>
      <c r="BW21" s="947">
        <f>SUM(BW22:BW27)</f>
        <v>0</v>
      </c>
      <c r="BX21" s="947">
        <f>SUM(BX22:BX27)</f>
        <v>0</v>
      </c>
      <c r="BY21" s="947">
        <f>SUM(BV21:BX21)</f>
        <v>138400000</v>
      </c>
      <c r="BZ21" s="948">
        <f>+BZ22+BZ26+BZ27</f>
        <v>627457427</v>
      </c>
      <c r="CA21" s="948">
        <f>+CA22</f>
        <v>235575969</v>
      </c>
      <c r="CB21" s="949">
        <f>+CA21/BZ21*100</f>
        <v>37.544534316270031</v>
      </c>
      <c r="CC21" s="827"/>
      <c r="CD21" s="825"/>
      <c r="CE21" s="828"/>
      <c r="CF21" s="834">
        <f>SUM(BZ22:BZ27)</f>
        <v>627457427</v>
      </c>
      <c r="CG21" s="829"/>
      <c r="CH21" s="815"/>
      <c r="CI21" s="815"/>
      <c r="CJ21" s="815"/>
      <c r="CK21" s="815"/>
      <c r="CL21" s="821"/>
      <c r="CX21" s="911">
        <f t="shared" si="0"/>
        <v>20519000</v>
      </c>
      <c r="CY21" s="1009"/>
      <c r="DA21" s="1067"/>
    </row>
    <row r="22" spans="1:106" s="68" customFormat="1" ht="146.25" x14ac:dyDescent="0.2">
      <c r="A22" s="16" t="s">
        <v>30</v>
      </c>
      <c r="C22" s="539"/>
      <c r="D22" s="539"/>
      <c r="E22" s="539"/>
      <c r="F22" s="539"/>
      <c r="G22" s="539"/>
      <c r="H22" s="539"/>
      <c r="I22" s="539"/>
      <c r="J22" s="1521"/>
      <c r="K22" s="1535" t="s">
        <v>421</v>
      </c>
      <c r="L22" s="540"/>
      <c r="M22" s="540"/>
      <c r="N22" s="540"/>
      <c r="O22" s="540"/>
      <c r="P22" s="1449" t="s">
        <v>752</v>
      </c>
      <c r="Q22" s="1655">
        <v>60</v>
      </c>
      <c r="R22" s="1655">
        <v>50</v>
      </c>
      <c r="S22" s="1655">
        <v>50</v>
      </c>
      <c r="T22" s="1655">
        <v>50</v>
      </c>
      <c r="U22" s="16" t="s">
        <v>753</v>
      </c>
      <c r="V22" s="737" t="s">
        <v>435</v>
      </c>
      <c r="W22" s="226">
        <v>100</v>
      </c>
      <c r="X22" s="226">
        <v>100</v>
      </c>
      <c r="Y22" s="1302">
        <f>(((X22/W22*100)*AL22)/100)</f>
        <v>60</v>
      </c>
      <c r="Z22" s="1121" t="s">
        <v>1023</v>
      </c>
      <c r="AA22" s="1312">
        <f>+Y22</f>
        <v>60</v>
      </c>
      <c r="AB22" s="226">
        <v>100</v>
      </c>
      <c r="AC22" s="226">
        <v>50</v>
      </c>
      <c r="AD22" s="223">
        <f>(((AC22/AB22*100)*AM22)/100)</f>
        <v>25</v>
      </c>
      <c r="AE22" s="1121" t="s">
        <v>1257</v>
      </c>
      <c r="AF22" s="226">
        <v>50</v>
      </c>
      <c r="AG22" s="226">
        <v>100</v>
      </c>
      <c r="AH22" s="226">
        <v>100</v>
      </c>
      <c r="AI22" s="1118">
        <v>100</v>
      </c>
      <c r="AJ22" s="1118">
        <f>+((X22+AC22)/400)*100</f>
        <v>37.5</v>
      </c>
      <c r="AK22" s="424">
        <f t="shared" ref="AK22:AK27" si="5">+AJ22/AI22*100</f>
        <v>37.5</v>
      </c>
      <c r="AL22" s="1410">
        <v>60</v>
      </c>
      <c r="AM22" s="1410">
        <v>50</v>
      </c>
      <c r="AN22" s="506"/>
      <c r="AO22" s="1422">
        <v>61738427</v>
      </c>
      <c r="AP22" s="1422"/>
      <c r="AQ22" s="1422">
        <f>SUM(AO22:AP22)</f>
        <v>61738427</v>
      </c>
      <c r="AR22" s="1426">
        <v>61738427</v>
      </c>
      <c r="AS22" s="1426"/>
      <c r="AT22" s="1426">
        <f>+SUM(AR22:AS25)</f>
        <v>61738427</v>
      </c>
      <c r="AU22" s="1419">
        <f>61738427+100000000</f>
        <v>161738427</v>
      </c>
      <c r="AV22" s="1419"/>
      <c r="AW22" s="1419">
        <f>SUM(AU22:AV22)</f>
        <v>161738427</v>
      </c>
      <c r="AX22" s="1413">
        <v>171980801</v>
      </c>
      <c r="AY22" s="1407">
        <f>+AX22/(AW22+AW26)*100</f>
        <v>89.695531402268159</v>
      </c>
      <c r="AZ22" s="1516">
        <v>54732309</v>
      </c>
      <c r="BA22" s="1407">
        <f>+AZ22/(AW22+AW26)*100</f>
        <v>28.545299894423355</v>
      </c>
      <c r="BB22" s="1516">
        <v>54732309</v>
      </c>
      <c r="BC22" s="1407">
        <f>+BB22/(AW22+AW26)*100</f>
        <v>28.545299894423355</v>
      </c>
      <c r="BD22" s="1388">
        <f>2200000*11+10000000+24200000+20519000</f>
        <v>78919000</v>
      </c>
      <c r="BE22" s="1388"/>
      <c r="BF22" s="1388"/>
      <c r="BG22" s="1388">
        <f>SUM(BD22:BF22)</f>
        <v>78919000</v>
      </c>
      <c r="BH22" s="1391">
        <v>41223000</v>
      </c>
      <c r="BI22" s="1391">
        <f>BH22/BG22*100</f>
        <v>52.23456962201751</v>
      </c>
      <c r="BJ22" s="1391">
        <v>12499866</v>
      </c>
      <c r="BK22" s="1391">
        <f t="shared" si="3"/>
        <v>15.838855028573601</v>
      </c>
      <c r="BL22" s="1391">
        <v>12499866</v>
      </c>
      <c r="BM22" s="1393">
        <f t="shared" si="4"/>
        <v>15.838855028573601</v>
      </c>
      <c r="BN22" s="1388">
        <f>2200000*11+10000000+24200000</f>
        <v>58400000</v>
      </c>
      <c r="BO22" s="1388"/>
      <c r="BP22" s="1388"/>
      <c r="BQ22" s="1388">
        <f>SUM(BN22:BP22)</f>
        <v>58400000</v>
      </c>
      <c r="BR22" s="1388">
        <f>2200000*11+10000000+24200000</f>
        <v>58400000</v>
      </c>
      <c r="BS22" s="1388"/>
      <c r="BT22" s="1388"/>
      <c r="BU22" s="1388">
        <f>SUM(BR22:BT22)</f>
        <v>58400000</v>
      </c>
      <c r="BV22" s="1388">
        <f>2200000*11+10000000+24200000</f>
        <v>58400000</v>
      </c>
      <c r="BW22" s="1388"/>
      <c r="BX22" s="1388"/>
      <c r="BY22" s="1388">
        <f>SUM(BV22:BX22)</f>
        <v>58400000</v>
      </c>
      <c r="BZ22" s="1401">
        <f>+AW22+BG22+BU22+BY22</f>
        <v>357457427</v>
      </c>
      <c r="CA22" s="1401">
        <f>+BH22+BH27+BH26+AX22</f>
        <v>235575969</v>
      </c>
      <c r="CB22" s="1434">
        <f>+CA22/(BZ22+BZ26+BZ27)*100</f>
        <v>37.544534316270031</v>
      </c>
      <c r="CC22" s="1436" t="s">
        <v>1000</v>
      </c>
      <c r="CD22" s="1740" t="s">
        <v>1182</v>
      </c>
      <c r="CE22" s="542"/>
      <c r="CF22" s="543"/>
      <c r="CG22" s="544"/>
      <c r="CH22" s="545"/>
      <c r="CI22" s="86"/>
      <c r="CJ22" s="86"/>
      <c r="CK22" s="86"/>
      <c r="CL22" s="251"/>
      <c r="CX22" s="911">
        <f t="shared" si="0"/>
        <v>20519000</v>
      </c>
      <c r="CY22" s="1016"/>
      <c r="CZ22" s="1014"/>
      <c r="DA22" s="1112"/>
    </row>
    <row r="23" spans="1:106" s="68" customFormat="1" ht="146.25" customHeight="1" x14ac:dyDescent="0.2">
      <c r="A23" s="16"/>
      <c r="C23" s="539"/>
      <c r="D23" s="539"/>
      <c r="E23" s="539"/>
      <c r="F23" s="539"/>
      <c r="G23" s="539"/>
      <c r="H23" s="539"/>
      <c r="I23" s="539"/>
      <c r="J23" s="1475"/>
      <c r="K23" s="1562"/>
      <c r="L23" s="546"/>
      <c r="M23" s="546"/>
      <c r="N23" s="546"/>
      <c r="O23" s="546"/>
      <c r="P23" s="1450"/>
      <c r="Q23" s="1680"/>
      <c r="R23" s="1680"/>
      <c r="S23" s="1680"/>
      <c r="T23" s="1680"/>
      <c r="U23" s="16" t="s">
        <v>754</v>
      </c>
      <c r="V23" s="737" t="s">
        <v>137</v>
      </c>
      <c r="W23" s="226">
        <v>2</v>
      </c>
      <c r="X23" s="226">
        <v>1</v>
      </c>
      <c r="Y23" s="1302">
        <f>(((X23/W23*100)*AL22)/100)</f>
        <v>30</v>
      </c>
      <c r="Z23" s="1121" t="s">
        <v>1124</v>
      </c>
      <c r="AA23" s="1312">
        <v>25</v>
      </c>
      <c r="AB23" s="226">
        <v>1</v>
      </c>
      <c r="AC23" s="226">
        <v>0</v>
      </c>
      <c r="AD23" s="223">
        <f>(((AC23/AB23*100)*AM23)/100)</f>
        <v>0</v>
      </c>
      <c r="AE23" s="1121" t="s">
        <v>1258</v>
      </c>
      <c r="AF23" s="226">
        <v>50</v>
      </c>
      <c r="AG23" s="226">
        <v>1</v>
      </c>
      <c r="AH23" s="226">
        <v>1</v>
      </c>
      <c r="AI23" s="425">
        <f>+W23+AB23+AG23+AH23</f>
        <v>5</v>
      </c>
      <c r="AJ23" s="223">
        <f>+X23+AC23</f>
        <v>1</v>
      </c>
      <c r="AK23" s="424">
        <f t="shared" si="5"/>
        <v>20</v>
      </c>
      <c r="AL23" s="1411"/>
      <c r="AM23" s="1411"/>
      <c r="AN23" s="506"/>
      <c r="AO23" s="1476"/>
      <c r="AP23" s="1476"/>
      <c r="AQ23" s="1476"/>
      <c r="AR23" s="1427"/>
      <c r="AS23" s="1427"/>
      <c r="AT23" s="1427"/>
      <c r="AU23" s="1420"/>
      <c r="AV23" s="1420"/>
      <c r="AW23" s="1420"/>
      <c r="AX23" s="1414"/>
      <c r="AY23" s="1408" t="e">
        <f>+AX23/AR23*100</f>
        <v>#DIV/0!</v>
      </c>
      <c r="AZ23" s="1517"/>
      <c r="BA23" s="1408" t="e">
        <f>+AZ23/AT23*100</f>
        <v>#DIV/0!</v>
      </c>
      <c r="BB23" s="1517"/>
      <c r="BC23" s="1408" t="e">
        <f>+BB23/AY23*100</f>
        <v>#DIV/0!</v>
      </c>
      <c r="BD23" s="1389"/>
      <c r="BE23" s="1389"/>
      <c r="BF23" s="1389"/>
      <c r="BG23" s="1389"/>
      <c r="BH23" s="1734"/>
      <c r="BI23" s="1734"/>
      <c r="BJ23" s="1734"/>
      <c r="BK23" s="1734"/>
      <c r="BL23" s="1734"/>
      <c r="BM23" s="1588"/>
      <c r="BN23" s="1389"/>
      <c r="BO23" s="1389"/>
      <c r="BP23" s="1389"/>
      <c r="BQ23" s="1389"/>
      <c r="BR23" s="1389"/>
      <c r="BS23" s="1389"/>
      <c r="BT23" s="1389"/>
      <c r="BU23" s="1389"/>
      <c r="BV23" s="1389"/>
      <c r="BW23" s="1389"/>
      <c r="BX23" s="1389"/>
      <c r="BY23" s="1389"/>
      <c r="BZ23" s="1402"/>
      <c r="CA23" s="1402"/>
      <c r="CB23" s="1435" t="e">
        <f>+CA23/BX23*100</f>
        <v>#DIV/0!</v>
      </c>
      <c r="CC23" s="1437"/>
      <c r="CD23" s="1741"/>
      <c r="CE23" s="542"/>
      <c r="CF23" s="543"/>
      <c r="CG23" s="544"/>
      <c r="CH23" s="545"/>
      <c r="CI23" s="86"/>
      <c r="CJ23" s="86"/>
      <c r="CK23" s="86"/>
      <c r="CL23" s="523">
        <v>100000000</v>
      </c>
      <c r="CX23" s="911">
        <f t="shared" si="0"/>
        <v>0</v>
      </c>
      <c r="CY23" s="1010"/>
      <c r="DA23" s="1109"/>
    </row>
    <row r="24" spans="1:106" s="68" customFormat="1" ht="162" customHeight="1" x14ac:dyDescent="0.2">
      <c r="A24" s="16"/>
      <c r="C24" s="539"/>
      <c r="D24" s="539"/>
      <c r="E24" s="539"/>
      <c r="F24" s="539"/>
      <c r="G24" s="539"/>
      <c r="H24" s="539"/>
      <c r="I24" s="539"/>
      <c r="J24" s="1475"/>
      <c r="K24" s="1562"/>
      <c r="L24" s="546"/>
      <c r="M24" s="546"/>
      <c r="N24" s="546"/>
      <c r="O24" s="546"/>
      <c r="P24" s="1450"/>
      <c r="Q24" s="1680"/>
      <c r="R24" s="1680"/>
      <c r="S24" s="1680"/>
      <c r="T24" s="1680"/>
      <c r="U24" s="16" t="s">
        <v>750</v>
      </c>
      <c r="V24" s="737" t="s">
        <v>137</v>
      </c>
      <c r="W24" s="226">
        <v>4</v>
      </c>
      <c r="X24" s="226">
        <v>4</v>
      </c>
      <c r="Y24" s="1302">
        <f>(((X24/W24*100)*AL22)/100)</f>
        <v>60</v>
      </c>
      <c r="Z24" s="1121" t="s">
        <v>1024</v>
      </c>
      <c r="AA24" s="1312">
        <f>+Y24</f>
        <v>60</v>
      </c>
      <c r="AB24" s="226">
        <v>6</v>
      </c>
      <c r="AC24" s="226">
        <v>2</v>
      </c>
      <c r="AD24" s="223">
        <f>(((AC24/AB24*100)*AM22)/100)</f>
        <v>16.666666666666664</v>
      </c>
      <c r="AE24" s="1121" t="s">
        <v>1259</v>
      </c>
      <c r="AF24" s="226">
        <v>34</v>
      </c>
      <c r="AG24" s="226">
        <v>6</v>
      </c>
      <c r="AH24" s="226">
        <v>6</v>
      </c>
      <c r="AI24" s="425">
        <f>+W24+AB24+AG24+AH24</f>
        <v>22</v>
      </c>
      <c r="AJ24" s="223">
        <f>+X24+AC24</f>
        <v>6</v>
      </c>
      <c r="AK24" s="424">
        <f t="shared" si="5"/>
        <v>27.27272727272727</v>
      </c>
      <c r="AL24" s="1411"/>
      <c r="AM24" s="1411"/>
      <c r="AN24" s="506"/>
      <c r="AO24" s="1476"/>
      <c r="AP24" s="1476"/>
      <c r="AQ24" s="1476"/>
      <c r="AR24" s="1427"/>
      <c r="AS24" s="1427"/>
      <c r="AT24" s="1427"/>
      <c r="AU24" s="1420"/>
      <c r="AV24" s="1420"/>
      <c r="AW24" s="1420"/>
      <c r="AX24" s="1414"/>
      <c r="AY24" s="1408" t="e">
        <f>+AX24/AR24*100</f>
        <v>#DIV/0!</v>
      </c>
      <c r="AZ24" s="1517"/>
      <c r="BA24" s="1408" t="e">
        <f>+AZ24/AT24*100</f>
        <v>#DIV/0!</v>
      </c>
      <c r="BB24" s="1517"/>
      <c r="BC24" s="1408" t="e">
        <f>+BB24/AY24*100</f>
        <v>#DIV/0!</v>
      </c>
      <c r="BD24" s="1389"/>
      <c r="BE24" s="1389"/>
      <c r="BF24" s="1389"/>
      <c r="BG24" s="1389">
        <f>SUM(BD24:BF24)</f>
        <v>0</v>
      </c>
      <c r="BH24" s="1734"/>
      <c r="BI24" s="1734"/>
      <c r="BJ24" s="1734"/>
      <c r="BK24" s="1734"/>
      <c r="BL24" s="1734"/>
      <c r="BM24" s="1588"/>
      <c r="BN24" s="1389"/>
      <c r="BO24" s="1389"/>
      <c r="BP24" s="1389"/>
      <c r="BQ24" s="1389">
        <f>SUM(BN24:BP24)</f>
        <v>0</v>
      </c>
      <c r="BR24" s="1389"/>
      <c r="BS24" s="1389"/>
      <c r="BT24" s="1389"/>
      <c r="BU24" s="1389">
        <f>SUM(BR24:BT24)</f>
        <v>0</v>
      </c>
      <c r="BV24" s="1389"/>
      <c r="BW24" s="1389"/>
      <c r="BX24" s="1389"/>
      <c r="BY24" s="1389">
        <f>SUM(BV24:BX24)</f>
        <v>0</v>
      </c>
      <c r="BZ24" s="1402">
        <f>+AQ24+BQ24+BU24+BY24</f>
        <v>0</v>
      </c>
      <c r="CA24" s="1402"/>
      <c r="CB24" s="1435" t="e">
        <f>+CA24/BX24*100</f>
        <v>#DIV/0!</v>
      </c>
      <c r="CC24" s="1437"/>
      <c r="CD24" s="1741"/>
      <c r="CE24" s="542"/>
      <c r="CF24" s="543"/>
      <c r="CG24" s="547"/>
      <c r="CH24" s="181"/>
      <c r="CI24" s="181"/>
      <c r="CJ24" s="181"/>
      <c r="CK24" s="86"/>
      <c r="CL24" s="523"/>
      <c r="CX24" s="911">
        <f t="shared" si="0"/>
        <v>0</v>
      </c>
      <c r="CY24" s="1010"/>
      <c r="DA24" s="1104" t="s">
        <v>1260</v>
      </c>
    </row>
    <row r="25" spans="1:106" s="68" customFormat="1" ht="78.75" x14ac:dyDescent="0.2">
      <c r="A25" s="16" t="s">
        <v>253</v>
      </c>
      <c r="C25" s="539"/>
      <c r="D25" s="539"/>
      <c r="E25" s="539"/>
      <c r="F25" s="539"/>
      <c r="G25" s="539"/>
      <c r="H25" s="539"/>
      <c r="I25" s="539"/>
      <c r="J25" s="1475"/>
      <c r="K25" s="1562"/>
      <c r="L25" s="546"/>
      <c r="M25" s="546"/>
      <c r="N25" s="546"/>
      <c r="O25" s="546"/>
      <c r="P25" s="1451"/>
      <c r="Q25" s="1656"/>
      <c r="R25" s="1656"/>
      <c r="S25" s="1656"/>
      <c r="T25" s="1656"/>
      <c r="U25" s="18" t="s">
        <v>751</v>
      </c>
      <c r="V25" s="1155" t="s">
        <v>137</v>
      </c>
      <c r="W25" s="223">
        <v>1</v>
      </c>
      <c r="X25" s="223">
        <v>1</v>
      </c>
      <c r="Y25" s="1302">
        <f>(((X25/W25*100)*AL22)/100)</f>
        <v>60</v>
      </c>
      <c r="Z25" s="1121" t="s">
        <v>1025</v>
      </c>
      <c r="AA25" s="1302">
        <v>12.5</v>
      </c>
      <c r="AB25" s="223">
        <v>1</v>
      </c>
      <c r="AC25" s="223">
        <v>0</v>
      </c>
      <c r="AD25" s="223">
        <f>(((AC25/AB25*100)*AM25)/100)</f>
        <v>0</v>
      </c>
      <c r="AE25" s="1121" t="s">
        <v>1261</v>
      </c>
      <c r="AF25" s="223">
        <v>10</v>
      </c>
      <c r="AG25" s="223">
        <v>1</v>
      </c>
      <c r="AH25" s="223">
        <v>1</v>
      </c>
      <c r="AI25" s="746">
        <v>1</v>
      </c>
      <c r="AJ25" s="223">
        <f>+X25+AC25</f>
        <v>1</v>
      </c>
      <c r="AK25" s="424">
        <v>25</v>
      </c>
      <c r="AL25" s="1412"/>
      <c r="AM25" s="1412"/>
      <c r="AN25" s="506"/>
      <c r="AO25" s="1423"/>
      <c r="AP25" s="1423"/>
      <c r="AQ25" s="1423"/>
      <c r="AR25" s="1428"/>
      <c r="AS25" s="1428"/>
      <c r="AT25" s="1428"/>
      <c r="AU25" s="1421"/>
      <c r="AV25" s="1421"/>
      <c r="AW25" s="1421"/>
      <c r="AX25" s="1414"/>
      <c r="AY25" s="1408" t="e">
        <f>+AX25/AR25*100</f>
        <v>#DIV/0!</v>
      </c>
      <c r="AZ25" s="1517"/>
      <c r="BA25" s="1408" t="e">
        <f>+AZ25/AT25*100</f>
        <v>#DIV/0!</v>
      </c>
      <c r="BB25" s="1517"/>
      <c r="BC25" s="1408" t="e">
        <f>+BB25/AY25*100</f>
        <v>#DIV/0!</v>
      </c>
      <c r="BD25" s="1390"/>
      <c r="BE25" s="1390"/>
      <c r="BF25" s="1390"/>
      <c r="BG25" s="1390"/>
      <c r="BH25" s="1734"/>
      <c r="BI25" s="1734"/>
      <c r="BJ25" s="1734"/>
      <c r="BK25" s="1734"/>
      <c r="BL25" s="1734"/>
      <c r="BM25" s="1588"/>
      <c r="BN25" s="1390"/>
      <c r="BO25" s="1390"/>
      <c r="BP25" s="1390"/>
      <c r="BQ25" s="1390"/>
      <c r="BR25" s="1390"/>
      <c r="BS25" s="1390"/>
      <c r="BT25" s="1390"/>
      <c r="BU25" s="1390"/>
      <c r="BV25" s="1390"/>
      <c r="BW25" s="1390"/>
      <c r="BX25" s="1390"/>
      <c r="BY25" s="1390"/>
      <c r="BZ25" s="1403"/>
      <c r="CA25" s="1402"/>
      <c r="CB25" s="1435" t="e">
        <f>+CA25/BX25*100</f>
        <v>#DIV/0!</v>
      </c>
      <c r="CC25" s="1437"/>
      <c r="CD25" s="1741"/>
      <c r="CE25" s="542"/>
      <c r="CF25" s="543"/>
      <c r="CG25" s="547"/>
      <c r="CH25" s="181"/>
      <c r="CI25" s="181"/>
      <c r="CJ25" s="181"/>
      <c r="CK25" s="86"/>
      <c r="CL25" s="523"/>
      <c r="CX25" s="911">
        <f t="shared" si="0"/>
        <v>0</v>
      </c>
      <c r="CY25" s="1010"/>
      <c r="DA25" s="1109"/>
    </row>
    <row r="26" spans="1:106" s="68" customFormat="1" ht="78.75" customHeight="1" x14ac:dyDescent="0.2">
      <c r="A26" s="16" t="s">
        <v>31</v>
      </c>
      <c r="C26" s="539"/>
      <c r="D26" s="539"/>
      <c r="E26" s="539"/>
      <c r="F26" s="539"/>
      <c r="G26" s="539"/>
      <c r="H26" s="539"/>
      <c r="I26" s="539"/>
      <c r="J26" s="1475"/>
      <c r="K26" s="1562"/>
      <c r="L26" s="546"/>
      <c r="M26" s="546"/>
      <c r="N26" s="546"/>
      <c r="O26" s="546"/>
      <c r="P26" s="519" t="s">
        <v>412</v>
      </c>
      <c r="Q26" s="548">
        <v>40</v>
      </c>
      <c r="R26" s="548">
        <v>30</v>
      </c>
      <c r="S26" s="548">
        <v>30</v>
      </c>
      <c r="T26" s="548">
        <v>30</v>
      </c>
      <c r="U26" s="16" t="s">
        <v>441</v>
      </c>
      <c r="V26" s="737" t="s">
        <v>147</v>
      </c>
      <c r="W26" s="226">
        <v>100</v>
      </c>
      <c r="X26" s="226">
        <v>100</v>
      </c>
      <c r="Y26" s="1302">
        <f>(((X26/W26*100)*AL26)/100)</f>
        <v>40</v>
      </c>
      <c r="Z26" s="1121" t="s">
        <v>1026</v>
      </c>
      <c r="AA26" s="1312">
        <f>+X26</f>
        <v>100</v>
      </c>
      <c r="AB26" s="226">
        <v>100</v>
      </c>
      <c r="AC26" s="1313">
        <v>57</v>
      </c>
      <c r="AD26" s="223">
        <f>(((AC26/AB26*100)*AM26)/100)</f>
        <v>17.099999999999998</v>
      </c>
      <c r="AE26" s="1121" t="s">
        <v>1262</v>
      </c>
      <c r="AF26" s="226">
        <v>57</v>
      </c>
      <c r="AG26" s="226">
        <v>100</v>
      </c>
      <c r="AH26" s="226">
        <v>100</v>
      </c>
      <c r="AI26" s="746">
        <v>100</v>
      </c>
      <c r="AJ26" s="1314">
        <f>((X26+AC26)/400)*100</f>
        <v>39.25</v>
      </c>
      <c r="AK26" s="424">
        <f t="shared" si="5"/>
        <v>39.25</v>
      </c>
      <c r="AL26" s="1310">
        <v>40</v>
      </c>
      <c r="AM26" s="1315">
        <v>30</v>
      </c>
      <c r="AN26" s="549"/>
      <c r="AO26" s="1422">
        <v>30000000</v>
      </c>
      <c r="AP26" s="1422"/>
      <c r="AQ26" s="1422">
        <f>SUM(AO26:AP26)</f>
        <v>30000000</v>
      </c>
      <c r="AR26" s="550">
        <v>30000000</v>
      </c>
      <c r="AS26" s="1426"/>
      <c r="AT26" s="526">
        <f>+SUM(AR26:AS27)</f>
        <v>30000000</v>
      </c>
      <c r="AU26" s="1419">
        <v>30000000</v>
      </c>
      <c r="AV26" s="1419"/>
      <c r="AW26" s="1419">
        <f>SUM(AU26:AV26)</f>
        <v>30000000</v>
      </c>
      <c r="AX26" s="1414"/>
      <c r="AY26" s="1424">
        <f>+AX26/AR26*100</f>
        <v>0</v>
      </c>
      <c r="AZ26" s="1517"/>
      <c r="BA26" s="1424">
        <f>+AZ26/AT26*100</f>
        <v>0</v>
      </c>
      <c r="BB26" s="1517"/>
      <c r="BC26" s="1408" t="e">
        <f>+BB26/AY26*100</f>
        <v>#DIV/0!</v>
      </c>
      <c r="BD26" s="1031">
        <v>50000000</v>
      </c>
      <c r="BE26" s="1031"/>
      <c r="BF26" s="1031"/>
      <c r="BG26" s="1031">
        <f>SUM(BD26:BF26)</f>
        <v>50000000</v>
      </c>
      <c r="BH26" s="1031">
        <v>22372168</v>
      </c>
      <c r="BI26" s="1031">
        <f>+BH26/BG26*100</f>
        <v>44.744336000000004</v>
      </c>
      <c r="BJ26" s="1034">
        <v>12649168</v>
      </c>
      <c r="BK26" s="1031">
        <f>+BJ26/BG26*100</f>
        <v>25.298335999999999</v>
      </c>
      <c r="BL26" s="1034">
        <v>12649168</v>
      </c>
      <c r="BM26" s="964">
        <f>+BL26/BG26*100</f>
        <v>25.298335999999999</v>
      </c>
      <c r="BN26" s="964">
        <v>50000000</v>
      </c>
      <c r="BO26" s="964"/>
      <c r="BP26" s="964"/>
      <c r="BQ26" s="964">
        <f>SUM(BN26:BP26)</f>
        <v>50000000</v>
      </c>
      <c r="BR26" s="964">
        <v>50000000</v>
      </c>
      <c r="BS26" s="964"/>
      <c r="BT26" s="964"/>
      <c r="BU26" s="964">
        <f>SUM(BR26:BT26)</f>
        <v>50000000</v>
      </c>
      <c r="BV26" s="964">
        <v>50000000</v>
      </c>
      <c r="BW26" s="964"/>
      <c r="BX26" s="964"/>
      <c r="BY26" s="964">
        <f>SUM(BV26:BX26)</f>
        <v>50000000</v>
      </c>
      <c r="BZ26" s="967">
        <f>+AW26+BG26+BU26+BY26</f>
        <v>180000000</v>
      </c>
      <c r="CA26" s="1402"/>
      <c r="CB26" s="1435" t="e">
        <f>+CA26/BX26*100</f>
        <v>#DIV/0!</v>
      </c>
      <c r="CC26" s="1437"/>
      <c r="CD26" s="1741"/>
      <c r="CE26" s="542"/>
      <c r="CF26" s="543"/>
      <c r="CG26" s="547"/>
      <c r="CH26" s="181"/>
      <c r="CI26" s="181"/>
      <c r="CJ26" s="181"/>
      <c r="CK26" s="86"/>
      <c r="CL26" s="523"/>
      <c r="CX26" s="911">
        <f t="shared" si="0"/>
        <v>0</v>
      </c>
      <c r="CY26" s="1010"/>
      <c r="DA26" s="1109"/>
    </row>
    <row r="27" spans="1:106" s="68" customFormat="1" ht="78.75" customHeight="1" x14ac:dyDescent="0.2">
      <c r="A27" s="16"/>
      <c r="C27" s="539"/>
      <c r="D27" s="539"/>
      <c r="E27" s="539"/>
      <c r="F27" s="539"/>
      <c r="G27" s="539"/>
      <c r="H27" s="539"/>
      <c r="I27" s="539"/>
      <c r="J27" s="1475"/>
      <c r="K27" s="1562"/>
      <c r="L27" s="520"/>
      <c r="M27" s="520"/>
      <c r="N27" s="520"/>
      <c r="O27" s="520"/>
      <c r="P27" s="16" t="s">
        <v>369</v>
      </c>
      <c r="Q27" s="548"/>
      <c r="R27" s="548">
        <v>20</v>
      </c>
      <c r="S27" s="548">
        <v>20</v>
      </c>
      <c r="T27" s="548">
        <v>20</v>
      </c>
      <c r="U27" s="16" t="s">
        <v>400</v>
      </c>
      <c r="V27" s="737" t="s">
        <v>137</v>
      </c>
      <c r="W27" s="226"/>
      <c r="X27" s="226"/>
      <c r="Y27" s="1302"/>
      <c r="Z27" s="1121"/>
      <c r="AA27" s="1312"/>
      <c r="AB27" s="226">
        <v>1</v>
      </c>
      <c r="AC27" s="226">
        <v>0</v>
      </c>
      <c r="AD27" s="223">
        <f>(((AC27/AB27*100)*AM27)/100)</f>
        <v>0</v>
      </c>
      <c r="AE27" s="1121" t="s">
        <v>1263</v>
      </c>
      <c r="AF27" s="226">
        <v>15</v>
      </c>
      <c r="AG27" s="226">
        <v>1</v>
      </c>
      <c r="AH27" s="226">
        <v>1</v>
      </c>
      <c r="AI27" s="425">
        <f>+W27+AB27+AG27+AH27</f>
        <v>3</v>
      </c>
      <c r="AJ27" s="541">
        <f>+AC27</f>
        <v>0</v>
      </c>
      <c r="AK27" s="424">
        <f t="shared" si="5"/>
        <v>0</v>
      </c>
      <c r="AL27" s="1310"/>
      <c r="AM27" s="1310">
        <f>+R27</f>
        <v>20</v>
      </c>
      <c r="AN27" s="506"/>
      <c r="AO27" s="1423"/>
      <c r="AP27" s="1423"/>
      <c r="AQ27" s="1423"/>
      <c r="AR27" s="551"/>
      <c r="AS27" s="1428"/>
      <c r="AT27" s="551"/>
      <c r="AU27" s="1421"/>
      <c r="AV27" s="1421"/>
      <c r="AW27" s="1421"/>
      <c r="AX27" s="1415"/>
      <c r="AY27" s="1409" t="e">
        <f>+AX27/AR27*100</f>
        <v>#DIV/0!</v>
      </c>
      <c r="AZ27" s="1518"/>
      <c r="BA27" s="1409" t="e">
        <f>+AZ27/AT27*100</f>
        <v>#DIV/0!</v>
      </c>
      <c r="BB27" s="1518"/>
      <c r="BC27" s="1409" t="e">
        <f>+BB27/AY27*100</f>
        <v>#DIV/0!</v>
      </c>
      <c r="BD27" s="1023">
        <v>30000000</v>
      </c>
      <c r="BE27" s="1023"/>
      <c r="BF27" s="1023"/>
      <c r="BG27" s="1023">
        <f>SUM(BD27:BF27)</f>
        <v>30000000</v>
      </c>
      <c r="BH27" s="1023">
        <v>0</v>
      </c>
      <c r="BI27" s="1023">
        <f>+BH27/BG27*100</f>
        <v>0</v>
      </c>
      <c r="BJ27" s="1027">
        <v>0</v>
      </c>
      <c r="BK27" s="1031">
        <f>+BJ27/BG27*100</f>
        <v>0</v>
      </c>
      <c r="BL27" s="1027">
        <v>0</v>
      </c>
      <c r="BM27" s="964">
        <f>+BL27/BG27*100</f>
        <v>0</v>
      </c>
      <c r="BN27" s="968">
        <v>30000000</v>
      </c>
      <c r="BO27" s="968"/>
      <c r="BP27" s="968"/>
      <c r="BQ27" s="968">
        <f>SUM(BN27:BP27)</f>
        <v>30000000</v>
      </c>
      <c r="BR27" s="968">
        <v>30000000</v>
      </c>
      <c r="BS27" s="968"/>
      <c r="BT27" s="968"/>
      <c r="BU27" s="968">
        <f>SUM(BR27:BT27)</f>
        <v>30000000</v>
      </c>
      <c r="BV27" s="968">
        <v>30000000</v>
      </c>
      <c r="BW27" s="968"/>
      <c r="BX27" s="968"/>
      <c r="BY27" s="968">
        <f>SUM(BV27:BX27)</f>
        <v>30000000</v>
      </c>
      <c r="BZ27" s="969">
        <f>+AW27+BG27+BU27+BY27</f>
        <v>90000000</v>
      </c>
      <c r="CA27" s="1403"/>
      <c r="CB27" s="1438" t="e">
        <f>+CA27/BX27*100</f>
        <v>#DIV/0!</v>
      </c>
      <c r="CC27" s="1439"/>
      <c r="CD27" s="1742"/>
      <c r="CE27" s="542"/>
      <c r="CF27" s="528"/>
      <c r="CG27" s="529"/>
      <c r="CH27" s="64"/>
      <c r="CI27" s="64"/>
      <c r="CJ27" s="64"/>
      <c r="CK27" s="86"/>
      <c r="CL27" s="252"/>
      <c r="CX27" s="911">
        <f t="shared" si="0"/>
        <v>0</v>
      </c>
      <c r="CY27" s="1010"/>
      <c r="DA27" s="1109"/>
    </row>
    <row r="28" spans="1:106" s="830" customFormat="1" ht="112.5" customHeight="1" thickBot="1" x14ac:dyDescent="0.25">
      <c r="A28" s="814" t="s">
        <v>19</v>
      </c>
      <c r="C28" s="817"/>
      <c r="D28" s="817"/>
      <c r="E28" s="817"/>
      <c r="F28" s="817"/>
      <c r="G28" s="817"/>
      <c r="H28" s="817"/>
      <c r="I28" s="817"/>
      <c r="J28" s="1138" t="s">
        <v>851</v>
      </c>
      <c r="K28" s="1138"/>
      <c r="L28" s="1204">
        <v>25</v>
      </c>
      <c r="M28" s="1204">
        <v>25</v>
      </c>
      <c r="N28" s="1204">
        <v>25</v>
      </c>
      <c r="O28" s="1204">
        <v>25</v>
      </c>
      <c r="P28" s="1205"/>
      <c r="Q28" s="1205"/>
      <c r="R28" s="1205"/>
      <c r="S28" s="1205"/>
      <c r="T28" s="1205"/>
      <c r="U28" s="1205"/>
      <c r="V28" s="1207"/>
      <c r="W28" s="1222"/>
      <c r="X28" s="1222"/>
      <c r="Y28" s="1223">
        <f>((((Y29+Y30+Y31+Y32+Y33)/5)*AL28)/100)</f>
        <v>25</v>
      </c>
      <c r="Z28" s="1224"/>
      <c r="AA28" s="1223">
        <f>((((AA29+AA30+AA31+AA32+AA33)/5)*AL28)/100)</f>
        <v>25</v>
      </c>
      <c r="AB28" s="1222"/>
      <c r="AC28" s="1222"/>
      <c r="AD28" s="1223">
        <f>((((AD29+AD30+AD31+AD32)/4)*AM28)/100)</f>
        <v>13.334166666666668</v>
      </c>
      <c r="AE28" s="1222"/>
      <c r="AF28" s="1223">
        <f>(AF29+AF30+AF31+AF32)/4</f>
        <v>53.337500000000006</v>
      </c>
      <c r="AG28" s="1222"/>
      <c r="AH28" s="1222"/>
      <c r="AI28" s="1222"/>
      <c r="AJ28" s="1225">
        <f t="shared" ref="AJ28:AJ36" si="6">+X28+AC28</f>
        <v>0</v>
      </c>
      <c r="AK28" s="1223">
        <f>((AK29+AK30+AK31+AK32+AK33)/5)</f>
        <v>51.135000000000005</v>
      </c>
      <c r="AL28" s="1226">
        <f>+L28</f>
        <v>25</v>
      </c>
      <c r="AM28" s="1226">
        <v>25</v>
      </c>
      <c r="AN28" s="1207"/>
      <c r="AO28" s="821">
        <f>SUM(AO29:AO33)</f>
        <v>165000000</v>
      </c>
      <c r="AP28" s="821">
        <f>SUM(AP29:AP33)</f>
        <v>0</v>
      </c>
      <c r="AQ28" s="821">
        <f>SUM(AO28:AP28)</f>
        <v>165000000</v>
      </c>
      <c r="AR28" s="822">
        <f>SUM(AR29:AR33)</f>
        <v>200000000</v>
      </c>
      <c r="AS28" s="822">
        <f>SUM(AS29:AS33)</f>
        <v>0</v>
      </c>
      <c r="AT28" s="822">
        <f>SUM(AT29:AT33)</f>
        <v>200000000</v>
      </c>
      <c r="AU28" s="823">
        <f>SUM(AU29:AU33)</f>
        <v>200000000</v>
      </c>
      <c r="AV28" s="823">
        <f>SUM(AV29:AV33)</f>
        <v>0</v>
      </c>
      <c r="AW28" s="823">
        <f>SUM(AU28:AV28)</f>
        <v>200000000</v>
      </c>
      <c r="AX28" s="824">
        <f>SUM(AX29:AX33)</f>
        <v>179442243</v>
      </c>
      <c r="AY28" s="825">
        <f>+AX28/AW28*100</f>
        <v>89.721121499999995</v>
      </c>
      <c r="AZ28" s="826">
        <f>SUM(AZ29:AZ33)</f>
        <v>177137343</v>
      </c>
      <c r="BA28" s="825">
        <f>+AZ28/AW28*100</f>
        <v>88.568671499999994</v>
      </c>
      <c r="BB28" s="826">
        <f>SUM(BB29:BB33)</f>
        <v>176530015</v>
      </c>
      <c r="BC28" s="825">
        <f>+BB28/AW28*100</f>
        <v>88.26500750000001</v>
      </c>
      <c r="BD28" s="947">
        <f>SUM(BD29:BD33)</f>
        <v>151753000</v>
      </c>
      <c r="BE28" s="947">
        <f>SUM(BE29:BE33)</f>
        <v>0</v>
      </c>
      <c r="BF28" s="947">
        <f>SUM(BF29:BF33)</f>
        <v>0</v>
      </c>
      <c r="BG28" s="947">
        <f>SUM(BD28:BF28)</f>
        <v>151753000</v>
      </c>
      <c r="BH28" s="947">
        <f>SUM(BH29:BH33)</f>
        <v>90350000</v>
      </c>
      <c r="BI28" s="947">
        <f>+BH28/BG28*100</f>
        <v>59.537537972890156</v>
      </c>
      <c r="BJ28" s="947">
        <f>SUM(BJ29:BJ33)</f>
        <v>30171000</v>
      </c>
      <c r="BK28" s="947">
        <f>+BJ28/BG28*100</f>
        <v>19.881649786165678</v>
      </c>
      <c r="BL28" s="947">
        <f>SUM(BL29:BL33)</f>
        <v>30171000</v>
      </c>
      <c r="BM28" s="947">
        <f>+BL28/BG28*100</f>
        <v>19.881649786165678</v>
      </c>
      <c r="BN28" s="947">
        <f>SUM(BN29:BN33)</f>
        <v>168300000</v>
      </c>
      <c r="BO28" s="947">
        <f>SUM(BO29:BO33)</f>
        <v>0</v>
      </c>
      <c r="BP28" s="947">
        <f>SUM(BP29:BP33)</f>
        <v>0</v>
      </c>
      <c r="BQ28" s="947">
        <f>SUM(BN28:BP28)</f>
        <v>168300000</v>
      </c>
      <c r="BR28" s="947">
        <f>SUM(BR29:BR33)</f>
        <v>170000000</v>
      </c>
      <c r="BS28" s="947">
        <f>SUM(BS29:BS33)</f>
        <v>0</v>
      </c>
      <c r="BT28" s="947">
        <f>SUM(BT29:BT33)</f>
        <v>0</v>
      </c>
      <c r="BU28" s="947">
        <f>SUM(BR28:BT28)</f>
        <v>170000000</v>
      </c>
      <c r="BV28" s="947">
        <f>SUM(BV29:BV33)</f>
        <v>170000000</v>
      </c>
      <c r="BW28" s="947">
        <f>SUM(BW29:BW33)</f>
        <v>0</v>
      </c>
      <c r="BX28" s="947">
        <f>SUM(BX29:BX33)</f>
        <v>0</v>
      </c>
      <c r="BY28" s="947">
        <f>SUM(BV28:BX28)</f>
        <v>170000000</v>
      </c>
      <c r="BZ28" s="948">
        <f>+BZ29</f>
        <v>691753000</v>
      </c>
      <c r="CA28" s="948">
        <f>SUM(CA29:CA33)</f>
        <v>269792243</v>
      </c>
      <c r="CB28" s="949">
        <f>+CA28/BZ28*100</f>
        <v>39.001239315189089</v>
      </c>
      <c r="CC28" s="827"/>
      <c r="CD28" s="825"/>
      <c r="CE28" s="828"/>
      <c r="CF28" s="834">
        <f>+BZ29</f>
        <v>691753000</v>
      </c>
      <c r="CG28" s="829">
        <v>35000000</v>
      </c>
      <c r="CH28" s="815"/>
      <c r="CI28" s="815"/>
      <c r="CJ28" s="815"/>
      <c r="CL28" s="821"/>
      <c r="CX28" s="911">
        <f t="shared" si="0"/>
        <v>-16547000</v>
      </c>
      <c r="CY28" s="1009"/>
      <c r="DA28" s="1067"/>
    </row>
    <row r="29" spans="1:106" s="68" customFormat="1" ht="280.5" customHeight="1" thickTop="1" thickBot="1" x14ac:dyDescent="0.25">
      <c r="A29" s="16" t="s">
        <v>248</v>
      </c>
      <c r="C29" s="539"/>
      <c r="D29" s="539"/>
      <c r="E29" s="539"/>
      <c r="F29" s="539"/>
      <c r="G29" s="539"/>
      <c r="H29" s="539"/>
      <c r="I29" s="539"/>
      <c r="J29" s="1521"/>
      <c r="K29" s="1535" t="s">
        <v>421</v>
      </c>
      <c r="L29" s="552"/>
      <c r="M29" s="552"/>
      <c r="N29" s="552"/>
      <c r="O29" s="552"/>
      <c r="P29" s="1449" t="s">
        <v>755</v>
      </c>
      <c r="Q29" s="1623">
        <v>50</v>
      </c>
      <c r="R29" s="1623">
        <v>100</v>
      </c>
      <c r="S29" s="1623">
        <v>100</v>
      </c>
      <c r="T29" s="1623">
        <v>100</v>
      </c>
      <c r="U29" s="1144" t="s">
        <v>758</v>
      </c>
      <c r="V29" s="747" t="s">
        <v>147</v>
      </c>
      <c r="W29" s="748">
        <v>100</v>
      </c>
      <c r="X29" s="748">
        <v>100</v>
      </c>
      <c r="Y29" s="1302">
        <f>(((X29/W29*100)*AL29)/100)</f>
        <v>100</v>
      </c>
      <c r="Z29" s="747" t="s">
        <v>1141</v>
      </c>
      <c r="AA29" s="1305">
        <f>+Y29</f>
        <v>100</v>
      </c>
      <c r="AB29" s="749">
        <v>100</v>
      </c>
      <c r="AC29" s="749">
        <v>53.34</v>
      </c>
      <c r="AD29" s="1314">
        <f>(((AC29/AB29*100)*AM29)/100)</f>
        <v>53.34</v>
      </c>
      <c r="AE29" s="747" t="s">
        <v>1236</v>
      </c>
      <c r="AF29" s="749">
        <v>53.34</v>
      </c>
      <c r="AG29" s="749">
        <v>100</v>
      </c>
      <c r="AH29" s="749">
        <v>100</v>
      </c>
      <c r="AI29" s="553">
        <v>100</v>
      </c>
      <c r="AJ29" s="1136">
        <f>+(153.34/400)*100</f>
        <v>38.335000000000001</v>
      </c>
      <c r="AK29" s="424">
        <f>25+13.34</f>
        <v>38.340000000000003</v>
      </c>
      <c r="AL29" s="1410">
        <v>100</v>
      </c>
      <c r="AM29" s="1410">
        <v>100</v>
      </c>
      <c r="AN29" s="554" t="s">
        <v>686</v>
      </c>
      <c r="AO29" s="183">
        <v>135000000</v>
      </c>
      <c r="AP29" s="183"/>
      <c r="AQ29" s="183">
        <f>SUM(AO29:AP29)</f>
        <v>135000000</v>
      </c>
      <c r="AR29" s="1506">
        <v>200000000</v>
      </c>
      <c r="AS29" s="1426"/>
      <c r="AT29" s="1426">
        <f>+SUM(AR29:AS33)</f>
        <v>200000000</v>
      </c>
      <c r="AU29" s="1509">
        <v>200000000</v>
      </c>
      <c r="AV29" s="1419"/>
      <c r="AW29" s="1419">
        <f>SUM(AU29:AV29)</f>
        <v>200000000</v>
      </c>
      <c r="AX29" s="1595">
        <v>179442243</v>
      </c>
      <c r="AY29" s="1587">
        <f>+AX29/AW29*100</f>
        <v>89.721121499999995</v>
      </c>
      <c r="AZ29" s="1516">
        <v>177137343</v>
      </c>
      <c r="BA29" s="1587">
        <f>+AZ29/AW29*100</f>
        <v>88.568671499999994</v>
      </c>
      <c r="BB29" s="1516">
        <v>176530015</v>
      </c>
      <c r="BC29" s="1587">
        <f>+BB29/AW29*100</f>
        <v>88.26500750000001</v>
      </c>
      <c r="BD29" s="1388">
        <v>151753000</v>
      </c>
      <c r="BE29" s="1388"/>
      <c r="BF29" s="1388"/>
      <c r="BG29" s="1388">
        <f>SUM(BD29:BF33)</f>
        <v>151753000</v>
      </c>
      <c r="BH29" s="1388">
        <v>90350000</v>
      </c>
      <c r="BI29" s="1388">
        <f>+BH29/BG29*100</f>
        <v>59.537537972890156</v>
      </c>
      <c r="BJ29" s="1388">
        <v>30171000</v>
      </c>
      <c r="BK29" s="1388">
        <f>+BJ29/BG29*100</f>
        <v>19.881649786165678</v>
      </c>
      <c r="BL29" s="1388">
        <v>30171000</v>
      </c>
      <c r="BM29" s="1388">
        <f>+BL29/BG29*100</f>
        <v>19.881649786165678</v>
      </c>
      <c r="BN29" s="1388">
        <v>168300000</v>
      </c>
      <c r="BO29" s="1388"/>
      <c r="BP29" s="1388"/>
      <c r="BQ29" s="1388">
        <f>SUM(BN29:BP33)</f>
        <v>168300000</v>
      </c>
      <c r="BR29" s="1388">
        <v>170000000</v>
      </c>
      <c r="BS29" s="1388"/>
      <c r="BT29" s="1388"/>
      <c r="BU29" s="1388">
        <f>SUM(BR29:BT33)</f>
        <v>170000000</v>
      </c>
      <c r="BV29" s="1388">
        <v>170000000</v>
      </c>
      <c r="BW29" s="1388"/>
      <c r="BX29" s="1388"/>
      <c r="BY29" s="1388">
        <f>SUM(BV29:BX33)</f>
        <v>170000000</v>
      </c>
      <c r="BZ29" s="1401">
        <f>+AW29+BG29+BU29+BY29</f>
        <v>691753000</v>
      </c>
      <c r="CA29" s="1480">
        <f>+BH29+AX29</f>
        <v>269792243</v>
      </c>
      <c r="CB29" s="1671">
        <f>+CA29/BZ29*100</f>
        <v>39.001239315189089</v>
      </c>
      <c r="CC29" s="1436" t="s">
        <v>889</v>
      </c>
      <c r="CD29" s="1743" t="s">
        <v>1165</v>
      </c>
      <c r="CE29" s="528"/>
      <c r="CF29" s="528"/>
      <c r="CG29" s="529"/>
      <c r="CH29" s="64"/>
      <c r="CI29" s="64"/>
      <c r="CJ29" s="64"/>
      <c r="CL29" s="555"/>
      <c r="CX29" s="911">
        <f t="shared" si="0"/>
        <v>-16547000</v>
      </c>
      <c r="CY29" s="1049"/>
      <c r="CZ29" s="1050"/>
      <c r="DA29" s="1119" t="s">
        <v>1237</v>
      </c>
    </row>
    <row r="30" spans="1:106" s="68" customFormat="1" ht="113.25" thickTop="1" x14ac:dyDescent="0.2">
      <c r="A30" s="16" t="s">
        <v>20</v>
      </c>
      <c r="C30" s="539"/>
      <c r="D30" s="539"/>
      <c r="E30" s="539"/>
      <c r="F30" s="539"/>
      <c r="G30" s="539"/>
      <c r="H30" s="539"/>
      <c r="I30" s="539"/>
      <c r="J30" s="1475"/>
      <c r="K30" s="1562"/>
      <c r="L30" s="520"/>
      <c r="M30" s="520"/>
      <c r="N30" s="520"/>
      <c r="O30" s="520"/>
      <c r="P30" s="1450"/>
      <c r="Q30" s="1624"/>
      <c r="R30" s="1624">
        <v>20</v>
      </c>
      <c r="S30" s="1624">
        <v>20</v>
      </c>
      <c r="T30" s="1624">
        <v>20</v>
      </c>
      <c r="U30" s="1144" t="s">
        <v>687</v>
      </c>
      <c r="V30" s="747" t="s">
        <v>137</v>
      </c>
      <c r="W30" s="748">
        <v>12</v>
      </c>
      <c r="X30" s="748">
        <v>14</v>
      </c>
      <c r="Y30" s="1302">
        <f>+(100*AL29)/100</f>
        <v>100</v>
      </c>
      <c r="Z30" s="747" t="s">
        <v>1027</v>
      </c>
      <c r="AA30" s="1305">
        <f>+Y30</f>
        <v>100</v>
      </c>
      <c r="AB30" s="749">
        <v>12</v>
      </c>
      <c r="AC30" s="749">
        <v>8</v>
      </c>
      <c r="AD30" s="1136">
        <f>(((AC30/AB30*100)*AM29:AM29)/100)</f>
        <v>66.666666666666657</v>
      </c>
      <c r="AE30" s="747" t="s">
        <v>1238</v>
      </c>
      <c r="AF30" s="749">
        <v>66.67</v>
      </c>
      <c r="AG30" s="749">
        <v>13</v>
      </c>
      <c r="AH30" s="749">
        <v>13</v>
      </c>
      <c r="AI30" s="425">
        <f>+W30+AB30+AG30+AH30</f>
        <v>50</v>
      </c>
      <c r="AJ30" s="223">
        <f t="shared" si="6"/>
        <v>22</v>
      </c>
      <c r="AK30" s="424">
        <f>+AJ30/AI30*100</f>
        <v>44</v>
      </c>
      <c r="AL30" s="1411"/>
      <c r="AM30" s="1411"/>
      <c r="AN30" s="554"/>
      <c r="AO30" s="183">
        <v>30000000</v>
      </c>
      <c r="AP30" s="183"/>
      <c r="AQ30" s="183">
        <f>SUM(AO30:AP30)</f>
        <v>30000000</v>
      </c>
      <c r="AR30" s="1507"/>
      <c r="AS30" s="1427"/>
      <c r="AT30" s="1427"/>
      <c r="AU30" s="1510"/>
      <c r="AV30" s="1420"/>
      <c r="AW30" s="1420">
        <f>SUM(AU30:AV30)</f>
        <v>0</v>
      </c>
      <c r="AX30" s="1675"/>
      <c r="AY30" s="1587"/>
      <c r="AZ30" s="1517"/>
      <c r="BA30" s="1587"/>
      <c r="BB30" s="1517"/>
      <c r="BC30" s="1587"/>
      <c r="BD30" s="1389"/>
      <c r="BE30" s="1389"/>
      <c r="BF30" s="1389"/>
      <c r="BG30" s="1389"/>
      <c r="BH30" s="1389"/>
      <c r="BI30" s="1389"/>
      <c r="BJ30" s="1389"/>
      <c r="BK30" s="1389"/>
      <c r="BL30" s="1389"/>
      <c r="BM30" s="1389"/>
      <c r="BN30" s="1389"/>
      <c r="BO30" s="1389"/>
      <c r="BP30" s="1389"/>
      <c r="BQ30" s="1389"/>
      <c r="BR30" s="1389"/>
      <c r="BS30" s="1389"/>
      <c r="BT30" s="1389"/>
      <c r="BU30" s="1389"/>
      <c r="BV30" s="1389"/>
      <c r="BW30" s="1389"/>
      <c r="BX30" s="1389"/>
      <c r="BY30" s="1389"/>
      <c r="BZ30" s="1402">
        <f>+AQ30+BQ30+BU30+BY30</f>
        <v>30000000</v>
      </c>
      <c r="CA30" s="1481"/>
      <c r="CB30" s="1671"/>
      <c r="CC30" s="1437"/>
      <c r="CD30" s="1743"/>
      <c r="CE30" s="528"/>
      <c r="CF30" s="528"/>
      <c r="CG30" s="529"/>
      <c r="CH30" s="64"/>
      <c r="CI30" s="64"/>
      <c r="CJ30" s="64"/>
      <c r="CL30" s="556"/>
      <c r="CX30" s="911">
        <f t="shared" si="0"/>
        <v>0</v>
      </c>
      <c r="CY30" s="1010"/>
      <c r="DA30" s="1104" t="s">
        <v>1255</v>
      </c>
      <c r="DB30" s="1107"/>
    </row>
    <row r="31" spans="1:106" s="68" customFormat="1" ht="157.5" x14ac:dyDescent="0.2">
      <c r="A31" s="16"/>
      <c r="C31" s="539"/>
      <c r="D31" s="539"/>
      <c r="E31" s="539"/>
      <c r="F31" s="539"/>
      <c r="G31" s="539"/>
      <c r="H31" s="539"/>
      <c r="I31" s="539"/>
      <c r="J31" s="1475"/>
      <c r="K31" s="1562"/>
      <c r="L31" s="520"/>
      <c r="M31" s="520"/>
      <c r="N31" s="520"/>
      <c r="O31" s="520"/>
      <c r="P31" s="1450"/>
      <c r="Q31" s="1624"/>
      <c r="R31" s="1624">
        <v>20</v>
      </c>
      <c r="S31" s="1624">
        <v>20</v>
      </c>
      <c r="T31" s="1624">
        <v>20</v>
      </c>
      <c r="U31" s="1144" t="s">
        <v>759</v>
      </c>
      <c r="V31" s="747" t="s">
        <v>147</v>
      </c>
      <c r="W31" s="748">
        <v>100</v>
      </c>
      <c r="X31" s="748">
        <v>100</v>
      </c>
      <c r="Y31" s="1302">
        <f>(((X31/W31*100)*AL29)/100)</f>
        <v>100</v>
      </c>
      <c r="Z31" s="747" t="s">
        <v>1028</v>
      </c>
      <c r="AA31" s="1305">
        <f>+Y31</f>
        <v>100</v>
      </c>
      <c r="AB31" s="748">
        <v>100</v>
      </c>
      <c r="AC31" s="748">
        <v>53.34</v>
      </c>
      <c r="AD31" s="1314">
        <f>(((AC31/AB31*100)*AM29)/100)</f>
        <v>53.34</v>
      </c>
      <c r="AE31" s="747" t="s">
        <v>1239</v>
      </c>
      <c r="AF31" s="748">
        <v>53.34</v>
      </c>
      <c r="AG31" s="748">
        <v>100</v>
      </c>
      <c r="AH31" s="748">
        <v>100</v>
      </c>
      <c r="AI31" s="553">
        <v>100</v>
      </c>
      <c r="AJ31" s="1136">
        <f>+((X31+AC31)/400)*100</f>
        <v>38.335000000000001</v>
      </c>
      <c r="AK31" s="424">
        <f>+AJ31/AI31*100</f>
        <v>38.335000000000001</v>
      </c>
      <c r="AL31" s="1411"/>
      <c r="AM31" s="1411"/>
      <c r="AN31" s="554" t="s">
        <v>686</v>
      </c>
      <c r="AO31" s="183"/>
      <c r="AP31" s="183"/>
      <c r="AQ31" s="183"/>
      <c r="AR31" s="1507"/>
      <c r="AS31" s="1427"/>
      <c r="AT31" s="1427"/>
      <c r="AU31" s="1510"/>
      <c r="AV31" s="1420"/>
      <c r="AW31" s="1420"/>
      <c r="AX31" s="1675"/>
      <c r="AY31" s="1587"/>
      <c r="AZ31" s="1517"/>
      <c r="BA31" s="1587"/>
      <c r="BB31" s="1517"/>
      <c r="BC31" s="1587"/>
      <c r="BD31" s="1389"/>
      <c r="BE31" s="1389"/>
      <c r="BF31" s="1389"/>
      <c r="BG31" s="1389"/>
      <c r="BH31" s="1389"/>
      <c r="BI31" s="1389"/>
      <c r="BJ31" s="1389"/>
      <c r="BK31" s="1389"/>
      <c r="BL31" s="1389"/>
      <c r="BM31" s="1389"/>
      <c r="BN31" s="1389"/>
      <c r="BO31" s="1389"/>
      <c r="BP31" s="1389"/>
      <c r="BQ31" s="1389"/>
      <c r="BR31" s="1389"/>
      <c r="BS31" s="1389"/>
      <c r="BT31" s="1389"/>
      <c r="BU31" s="1389"/>
      <c r="BV31" s="1389"/>
      <c r="BW31" s="1389"/>
      <c r="BX31" s="1389"/>
      <c r="BY31" s="1389"/>
      <c r="BZ31" s="1402"/>
      <c r="CA31" s="1481"/>
      <c r="CB31" s="1671"/>
      <c r="CC31" s="1437"/>
      <c r="CD31" s="1743"/>
      <c r="CE31" s="528"/>
      <c r="CF31" s="528"/>
      <c r="CG31" s="529"/>
      <c r="CH31" s="64"/>
      <c r="CI31" s="64"/>
      <c r="CJ31" s="64"/>
      <c r="CL31" s="556"/>
      <c r="CX31" s="911">
        <f t="shared" si="0"/>
        <v>0</v>
      </c>
      <c r="CY31" s="1010"/>
      <c r="DA31" s="1109"/>
      <c r="DB31" s="1107"/>
    </row>
    <row r="32" spans="1:106" s="68" customFormat="1" ht="112.5" x14ac:dyDescent="0.2">
      <c r="A32" s="16"/>
      <c r="C32" s="539"/>
      <c r="D32" s="539"/>
      <c r="E32" s="539"/>
      <c r="F32" s="539"/>
      <c r="G32" s="539"/>
      <c r="H32" s="539"/>
      <c r="I32" s="539"/>
      <c r="J32" s="1475"/>
      <c r="K32" s="1562"/>
      <c r="L32" s="520"/>
      <c r="M32" s="520"/>
      <c r="N32" s="520"/>
      <c r="O32" s="520"/>
      <c r="P32" s="1450"/>
      <c r="Q32" s="1664"/>
      <c r="R32" s="1664">
        <v>20</v>
      </c>
      <c r="S32" s="1664">
        <v>20</v>
      </c>
      <c r="T32" s="1664">
        <v>20</v>
      </c>
      <c r="U32" s="16" t="s">
        <v>626</v>
      </c>
      <c r="V32" s="747" t="s">
        <v>137</v>
      </c>
      <c r="W32" s="748">
        <v>10</v>
      </c>
      <c r="X32" s="748">
        <v>10</v>
      </c>
      <c r="Y32" s="1302">
        <f>(((X32/W32*100)*AL29)/100)</f>
        <v>100</v>
      </c>
      <c r="Z32" s="747" t="s">
        <v>1029</v>
      </c>
      <c r="AA32" s="1305">
        <f>+Y32</f>
        <v>100</v>
      </c>
      <c r="AB32" s="749">
        <v>10</v>
      </c>
      <c r="AC32" s="749">
        <v>4</v>
      </c>
      <c r="AD32" s="223">
        <f>(((AC32/AB32*100)*AM29)/100)</f>
        <v>40</v>
      </c>
      <c r="AE32" s="747" t="s">
        <v>1240</v>
      </c>
      <c r="AF32" s="749">
        <v>40</v>
      </c>
      <c r="AG32" s="749">
        <v>10</v>
      </c>
      <c r="AH32" s="749">
        <v>10</v>
      </c>
      <c r="AI32" s="425">
        <f>+W32+AB32+AG32+AH32</f>
        <v>40</v>
      </c>
      <c r="AJ32" s="223">
        <f t="shared" si="6"/>
        <v>14</v>
      </c>
      <c r="AK32" s="424">
        <f>+AJ32/AI32*100</f>
        <v>35</v>
      </c>
      <c r="AL32" s="1411"/>
      <c r="AM32" s="1411"/>
      <c r="AN32" s="557"/>
      <c r="AO32" s="183"/>
      <c r="AP32" s="183"/>
      <c r="AQ32" s="183">
        <f t="shared" ref="AQ32:AQ40" si="7">SUM(AO32:AP32)</f>
        <v>0</v>
      </c>
      <c r="AR32" s="1507"/>
      <c r="AS32" s="1427"/>
      <c r="AT32" s="1427"/>
      <c r="AU32" s="1510"/>
      <c r="AV32" s="1420"/>
      <c r="AW32" s="1420">
        <f t="shared" ref="AW32:AW40" si="8">SUM(AU32:AV32)</f>
        <v>0</v>
      </c>
      <c r="AX32" s="1675"/>
      <c r="AY32" s="1587"/>
      <c r="AZ32" s="1517"/>
      <c r="BA32" s="1587"/>
      <c r="BB32" s="1517"/>
      <c r="BC32" s="1587"/>
      <c r="BD32" s="1389"/>
      <c r="BE32" s="1389"/>
      <c r="BF32" s="1389"/>
      <c r="BG32" s="1389"/>
      <c r="BH32" s="1389"/>
      <c r="BI32" s="1389"/>
      <c r="BJ32" s="1389"/>
      <c r="BK32" s="1389"/>
      <c r="BL32" s="1389"/>
      <c r="BM32" s="1389"/>
      <c r="BN32" s="1389"/>
      <c r="BO32" s="1389"/>
      <c r="BP32" s="1389"/>
      <c r="BQ32" s="1389"/>
      <c r="BR32" s="1389"/>
      <c r="BS32" s="1389"/>
      <c r="BT32" s="1389"/>
      <c r="BU32" s="1389"/>
      <c r="BV32" s="1389"/>
      <c r="BW32" s="1389"/>
      <c r="BX32" s="1389"/>
      <c r="BY32" s="1389"/>
      <c r="BZ32" s="1402">
        <f>+AQ32+BQ32+BU32+BY32</f>
        <v>0</v>
      </c>
      <c r="CA32" s="1481"/>
      <c r="CB32" s="1671"/>
      <c r="CC32" s="1437"/>
      <c r="CD32" s="1743"/>
      <c r="CE32" s="528"/>
      <c r="CF32" s="528"/>
      <c r="CG32" s="529"/>
      <c r="CH32" s="64"/>
      <c r="CI32" s="64"/>
      <c r="CJ32" s="64"/>
      <c r="CL32" s="556"/>
      <c r="CX32" s="911">
        <f t="shared" si="0"/>
        <v>0</v>
      </c>
      <c r="CY32" s="1010"/>
      <c r="DA32" s="1109"/>
    </row>
    <row r="33" spans="1:105" s="68" customFormat="1" ht="146.25" hidden="1" x14ac:dyDescent="0.2">
      <c r="A33" s="16"/>
      <c r="C33" s="539"/>
      <c r="D33" s="539"/>
      <c r="E33" s="539"/>
      <c r="F33" s="539"/>
      <c r="G33" s="539"/>
      <c r="H33" s="539"/>
      <c r="I33" s="539"/>
      <c r="J33" s="1522"/>
      <c r="K33" s="1536"/>
      <c r="L33" s="521"/>
      <c r="M33" s="521"/>
      <c r="N33" s="521"/>
      <c r="O33" s="521"/>
      <c r="P33" s="1451"/>
      <c r="Q33" s="548">
        <v>50</v>
      </c>
      <c r="R33" s="548"/>
      <c r="S33" s="548"/>
      <c r="T33" s="548"/>
      <c r="U33" s="16" t="s">
        <v>756</v>
      </c>
      <c r="V33" s="737" t="s">
        <v>147</v>
      </c>
      <c r="W33" s="226">
        <v>100</v>
      </c>
      <c r="X33" s="226">
        <v>100</v>
      </c>
      <c r="Y33" s="1302">
        <f>(((X33/W33*100)*AL29)/100)</f>
        <v>100</v>
      </c>
      <c r="Z33" s="747" t="s">
        <v>1030</v>
      </c>
      <c r="AA33" s="1312">
        <f>+Y33</f>
        <v>100</v>
      </c>
      <c r="AB33" s="226"/>
      <c r="AC33" s="226"/>
      <c r="AD33" s="226"/>
      <c r="AE33" s="1121" t="s">
        <v>1155</v>
      </c>
      <c r="AF33" s="226"/>
      <c r="AG33" s="226"/>
      <c r="AH33" s="226"/>
      <c r="AI33" s="425">
        <f>+W33+AB33+AG33+AH33</f>
        <v>100</v>
      </c>
      <c r="AJ33" s="223">
        <f t="shared" si="6"/>
        <v>100</v>
      </c>
      <c r="AK33" s="424">
        <f>+AJ33/AI33*100</f>
        <v>100</v>
      </c>
      <c r="AL33" s="1412"/>
      <c r="AM33" s="1316"/>
      <c r="AN33" s="506"/>
      <c r="AO33" s="183"/>
      <c r="AP33" s="183"/>
      <c r="AQ33" s="183">
        <f t="shared" si="7"/>
        <v>0</v>
      </c>
      <c r="AR33" s="1508"/>
      <c r="AS33" s="1428"/>
      <c r="AT33" s="1428"/>
      <c r="AU33" s="1511"/>
      <c r="AV33" s="1421"/>
      <c r="AW33" s="1421">
        <f t="shared" si="8"/>
        <v>0</v>
      </c>
      <c r="AX33" s="1596"/>
      <c r="AY33" s="1587"/>
      <c r="AZ33" s="1518"/>
      <c r="BA33" s="1587"/>
      <c r="BB33" s="1518"/>
      <c r="BC33" s="1587"/>
      <c r="BD33" s="1390"/>
      <c r="BE33" s="1390"/>
      <c r="BF33" s="1390"/>
      <c r="BG33" s="1390"/>
      <c r="BH33" s="1390"/>
      <c r="BI33" s="1390"/>
      <c r="BJ33" s="1390"/>
      <c r="BK33" s="1390"/>
      <c r="BL33" s="1390"/>
      <c r="BM33" s="1390"/>
      <c r="BN33" s="1390"/>
      <c r="BO33" s="1390"/>
      <c r="BP33" s="1390"/>
      <c r="BQ33" s="1390"/>
      <c r="BR33" s="1390"/>
      <c r="BS33" s="1390"/>
      <c r="BT33" s="1390"/>
      <c r="BU33" s="1390"/>
      <c r="BV33" s="1390"/>
      <c r="BW33" s="1390"/>
      <c r="BX33" s="1390"/>
      <c r="BY33" s="1390"/>
      <c r="BZ33" s="1403">
        <f>+AQ33+BQ33+BU33+BY33</f>
        <v>0</v>
      </c>
      <c r="CA33" s="1482"/>
      <c r="CB33" s="1671"/>
      <c r="CC33" s="1439"/>
      <c r="CD33" s="1743"/>
      <c r="CE33" s="528"/>
      <c r="CF33" s="528"/>
      <c r="CG33" s="529"/>
      <c r="CH33" s="64"/>
      <c r="CI33" s="64"/>
      <c r="CJ33" s="64"/>
      <c r="CL33" s="558"/>
      <c r="CX33" s="911">
        <f t="shared" si="0"/>
        <v>0</v>
      </c>
      <c r="CY33" s="1010"/>
      <c r="DA33" s="1068"/>
    </row>
    <row r="34" spans="1:105" s="830" customFormat="1" ht="45" x14ac:dyDescent="0.2">
      <c r="A34" s="819" t="s">
        <v>73</v>
      </c>
      <c r="C34" s="848"/>
      <c r="D34" s="848"/>
      <c r="E34" s="848"/>
      <c r="F34" s="848"/>
      <c r="G34" s="848"/>
      <c r="H34" s="848"/>
      <c r="I34" s="848"/>
      <c r="J34" s="1138" t="s">
        <v>852</v>
      </c>
      <c r="K34" s="1205"/>
      <c r="L34" s="1204">
        <v>25</v>
      </c>
      <c r="M34" s="1204">
        <v>25</v>
      </c>
      <c r="N34" s="1204">
        <v>25</v>
      </c>
      <c r="O34" s="1204">
        <v>25</v>
      </c>
      <c r="P34" s="1138"/>
      <c r="Q34" s="1227"/>
      <c r="R34" s="1227"/>
      <c r="S34" s="1227"/>
      <c r="T34" s="1227"/>
      <c r="U34" s="1227"/>
      <c r="V34" s="1228"/>
      <c r="W34" s="1229"/>
      <c r="X34" s="1229"/>
      <c r="Y34" s="1229">
        <f>(((Y35+Y36+Y37)*AL34)/100)</f>
        <v>12.5</v>
      </c>
      <c r="Z34" s="1229"/>
      <c r="AA34" s="1229">
        <f>((((AA35+AA36)/2)*AL34)/100)</f>
        <v>6.25</v>
      </c>
      <c r="AB34" s="1229"/>
      <c r="AC34" s="1229"/>
      <c r="AD34" s="1229">
        <f>((((AD36+AD37+AD38)/3)*AM34)/100)</f>
        <v>0</v>
      </c>
      <c r="AE34" s="1229"/>
      <c r="AF34" s="1230">
        <f>((((AF36+AF37+AF38)/3)))</f>
        <v>30</v>
      </c>
      <c r="AG34" s="1229"/>
      <c r="AH34" s="1229"/>
      <c r="AI34" s="1229"/>
      <c r="AJ34" s="1225">
        <f t="shared" si="6"/>
        <v>0</v>
      </c>
      <c r="AK34" s="1229">
        <f>((AK35+AK36)/2)</f>
        <v>12.5</v>
      </c>
      <c r="AL34" s="1229">
        <f>+L34</f>
        <v>25</v>
      </c>
      <c r="AM34" s="1229">
        <v>25</v>
      </c>
      <c r="AN34" s="1229"/>
      <c r="AO34" s="821">
        <f>SUM(AO35:AO38)</f>
        <v>150000000</v>
      </c>
      <c r="AP34" s="821">
        <f>SUM(AP35:AP38)</f>
        <v>0</v>
      </c>
      <c r="AQ34" s="821">
        <f t="shared" si="7"/>
        <v>150000000</v>
      </c>
      <c r="AR34" s="822">
        <f>SUM(AR35:AR38)</f>
        <v>150000000</v>
      </c>
      <c r="AS34" s="822">
        <f>SUM(AS35:AS38)</f>
        <v>0</v>
      </c>
      <c r="AT34" s="822">
        <f>SUM(AT35:AT38)</f>
        <v>150000000</v>
      </c>
      <c r="AU34" s="823">
        <f>SUM(AU35:AU38)</f>
        <v>200200000</v>
      </c>
      <c r="AV34" s="823">
        <f>SUM(AV35:AV38)</f>
        <v>0</v>
      </c>
      <c r="AW34" s="823">
        <f t="shared" si="8"/>
        <v>200200000</v>
      </c>
      <c r="AX34" s="824">
        <f>SUM(AX35:AX38)</f>
        <v>191292630</v>
      </c>
      <c r="AY34" s="825">
        <f>+AX34/AW34*100</f>
        <v>95.550764235764234</v>
      </c>
      <c r="AZ34" s="826">
        <f>SUM(AZ35:AZ38)</f>
        <v>111843426</v>
      </c>
      <c r="BA34" s="825">
        <f>+AZ34/AW34*100</f>
        <v>55.865847152847145</v>
      </c>
      <c r="BB34" s="826">
        <f>SUM(BB35:BB38)</f>
        <v>111843426</v>
      </c>
      <c r="BC34" s="825">
        <f>+BB34/AW34*100</f>
        <v>55.865847152847145</v>
      </c>
      <c r="BD34" s="947">
        <f>SUM(BD35:BD38)</f>
        <v>179999999.998</v>
      </c>
      <c r="BE34" s="947">
        <f>SUM(BE35:BE38)</f>
        <v>0</v>
      </c>
      <c r="BF34" s="947">
        <f>SUM(BF35:BF38)</f>
        <v>0</v>
      </c>
      <c r="BG34" s="947">
        <f t="shared" ref="BG34:BG40" si="9">SUM(BD34:BF34)</f>
        <v>179999999.998</v>
      </c>
      <c r="BH34" s="947">
        <f>SUM(BH35:BH38)</f>
        <v>144683652</v>
      </c>
      <c r="BI34" s="947">
        <f>+BH34/BG34*100</f>
        <v>80.379806667559777</v>
      </c>
      <c r="BJ34" s="947">
        <f>SUM(BJ35:BJ38)</f>
        <v>7151000</v>
      </c>
      <c r="BK34" s="947">
        <f>+BJ34/BG34*100</f>
        <v>3.9727777778219195</v>
      </c>
      <c r="BL34" s="947">
        <f>SUM(BL35:BL38)</f>
        <v>7151000</v>
      </c>
      <c r="BM34" s="947">
        <f>+BL34/BG34*100</f>
        <v>3.9727777778219195</v>
      </c>
      <c r="BN34" s="947">
        <f>SUM(BN35:BN38)</f>
        <v>180000000</v>
      </c>
      <c r="BO34" s="947">
        <f>SUM(BO35:BO38)</f>
        <v>0</v>
      </c>
      <c r="BP34" s="947">
        <f>SUM(BP35:BP38)</f>
        <v>0</v>
      </c>
      <c r="BQ34" s="947">
        <f t="shared" ref="BQ34:BQ40" si="10">SUM(BN34:BP34)</f>
        <v>180000000</v>
      </c>
      <c r="BR34" s="947">
        <f>SUM(BR35:BR38)</f>
        <v>180000000</v>
      </c>
      <c r="BS34" s="947">
        <f>SUM(BS35:BS38)</f>
        <v>0</v>
      </c>
      <c r="BT34" s="947">
        <f>SUM(BT35:BT38)</f>
        <v>0</v>
      </c>
      <c r="BU34" s="947">
        <f t="shared" ref="BU34:BU40" si="11">SUM(BR34:BT34)</f>
        <v>180000000</v>
      </c>
      <c r="BV34" s="947">
        <f>SUM(BV35:BV38)</f>
        <v>250000000</v>
      </c>
      <c r="BW34" s="947">
        <f>SUM(BW35:BW38)</f>
        <v>0</v>
      </c>
      <c r="BX34" s="947">
        <f>SUM(BX35:BX38)</f>
        <v>0</v>
      </c>
      <c r="BY34" s="947">
        <f t="shared" ref="BY34:BY40" si="12">SUM(BV34:BX34)</f>
        <v>250000000</v>
      </c>
      <c r="BZ34" s="948">
        <f>SUM(BZ35:BZ38)</f>
        <v>810199999.99799991</v>
      </c>
      <c r="CA34" s="948">
        <f>SUM(CA35:CA38)</f>
        <v>335976282</v>
      </c>
      <c r="CB34" s="949">
        <f>+CA34/BZ34*100</f>
        <v>41.468314243499059</v>
      </c>
      <c r="CC34" s="827"/>
      <c r="CD34" s="825"/>
      <c r="CE34" s="828"/>
      <c r="CF34" s="834">
        <f>SUM(BZ35:BZ38)</f>
        <v>810199999.99799991</v>
      </c>
      <c r="CG34" s="829"/>
      <c r="CH34" s="815"/>
      <c r="CI34" s="815"/>
      <c r="CL34" s="821"/>
      <c r="CX34" s="911">
        <f t="shared" si="0"/>
        <v>-2.0000040531158447E-3</v>
      </c>
      <c r="CY34" s="1009"/>
      <c r="DA34" s="1067"/>
    </row>
    <row r="35" spans="1:105" s="68" customFormat="1" ht="157.5" hidden="1" x14ac:dyDescent="0.2">
      <c r="A35" s="20" t="s">
        <v>74</v>
      </c>
      <c r="C35" s="539"/>
      <c r="D35" s="539"/>
      <c r="E35" s="539"/>
      <c r="F35" s="539"/>
      <c r="G35" s="539"/>
      <c r="H35" s="539"/>
      <c r="I35" s="539"/>
      <c r="J35" s="1672"/>
      <c r="K35" s="1673" t="s">
        <v>421</v>
      </c>
      <c r="L35" s="519"/>
      <c r="M35" s="519"/>
      <c r="N35" s="519"/>
      <c r="O35" s="519"/>
      <c r="P35" s="20" t="s">
        <v>562</v>
      </c>
      <c r="Q35" s="559">
        <v>50</v>
      </c>
      <c r="R35" s="559"/>
      <c r="S35" s="559"/>
      <c r="T35" s="559"/>
      <c r="U35" s="16" t="s">
        <v>523</v>
      </c>
      <c r="V35" s="744" t="s">
        <v>137</v>
      </c>
      <c r="W35" s="1089">
        <v>1</v>
      </c>
      <c r="X35" s="1089">
        <v>0</v>
      </c>
      <c r="Y35" s="1089">
        <f>(((X35/W35*100)*AL35)/100)</f>
        <v>0</v>
      </c>
      <c r="Z35" s="881" t="s">
        <v>1031</v>
      </c>
      <c r="AA35" s="880">
        <v>10</v>
      </c>
      <c r="AB35" s="223"/>
      <c r="AC35" s="214"/>
      <c r="AD35" s="901"/>
      <c r="AE35" s="872" t="s">
        <v>1153</v>
      </c>
      <c r="AF35" s="873"/>
      <c r="AG35" s="223"/>
      <c r="AH35" s="223"/>
      <c r="AI35" s="425">
        <f>+W35+AB35+AG35+AH35</f>
        <v>1</v>
      </c>
      <c r="AJ35" s="901">
        <f t="shared" si="6"/>
        <v>0</v>
      </c>
      <c r="AK35" s="424">
        <f>+AJ35/AI35*100</f>
        <v>0</v>
      </c>
      <c r="AL35" s="890">
        <v>50</v>
      </c>
      <c r="AM35" s="896"/>
      <c r="AN35" s="509"/>
      <c r="AO35" s="183">
        <v>80000000</v>
      </c>
      <c r="AP35" s="183"/>
      <c r="AQ35" s="183">
        <f t="shared" si="7"/>
        <v>80000000</v>
      </c>
      <c r="AR35" s="411">
        <v>80000000</v>
      </c>
      <c r="AS35" s="411"/>
      <c r="AT35" s="411">
        <f>+AR35+AS35</f>
        <v>80000000</v>
      </c>
      <c r="AU35" s="710">
        <v>80000000</v>
      </c>
      <c r="AV35" s="710"/>
      <c r="AW35" s="710">
        <f t="shared" si="8"/>
        <v>80000000</v>
      </c>
      <c r="AX35" s="1429">
        <v>191292630</v>
      </c>
      <c r="AY35" s="1513">
        <f>+AX35/(AW35+AW36+AW37+AW38)*100</f>
        <v>95.550764235764234</v>
      </c>
      <c r="AZ35" s="1516">
        <v>111843426</v>
      </c>
      <c r="BA35" s="1513">
        <f>+AZ35/(AW35+AW36+AW37+AW38)*100</f>
        <v>55.865847152847145</v>
      </c>
      <c r="BB35" s="1516">
        <v>111843426</v>
      </c>
      <c r="BC35" s="1513">
        <f>+BB35/(AW35+AW36+AW37+AW38)*100</f>
        <v>55.865847152847145</v>
      </c>
      <c r="BD35" s="1031">
        <v>0</v>
      </c>
      <c r="BE35" s="1031"/>
      <c r="BF35" s="1031"/>
      <c r="BG35" s="1031">
        <f t="shared" si="9"/>
        <v>0</v>
      </c>
      <c r="BH35" s="1081">
        <v>0</v>
      </c>
      <c r="BI35" s="1031">
        <v>0</v>
      </c>
      <c r="BJ35" s="1032">
        <v>0</v>
      </c>
      <c r="BK35" s="1031">
        <v>0</v>
      </c>
      <c r="BL35" s="1032">
        <v>0</v>
      </c>
      <c r="BM35" s="1031">
        <v>0</v>
      </c>
      <c r="BN35" s="964"/>
      <c r="BO35" s="964"/>
      <c r="BP35" s="964"/>
      <c r="BQ35" s="964">
        <f t="shared" si="10"/>
        <v>0</v>
      </c>
      <c r="BR35" s="964"/>
      <c r="BS35" s="964"/>
      <c r="BT35" s="964"/>
      <c r="BU35" s="964">
        <f t="shared" si="11"/>
        <v>0</v>
      </c>
      <c r="BV35" s="964"/>
      <c r="BW35" s="964"/>
      <c r="BX35" s="964"/>
      <c r="BY35" s="964">
        <f t="shared" si="12"/>
        <v>0</v>
      </c>
      <c r="BZ35" s="967">
        <f>+AW35+BG35+BU35+BY35</f>
        <v>80000000</v>
      </c>
      <c r="CA35" s="1480">
        <f>+BH36+BH35+BH37+BH38+AX35</f>
        <v>335976282</v>
      </c>
      <c r="CB35" s="1477">
        <f>+CA35/(BZ35+BZ36+BZ37+BZ38)*100</f>
        <v>41.468314243499059</v>
      </c>
      <c r="CC35" s="1436" t="s">
        <v>1001</v>
      </c>
      <c r="CD35" s="1513"/>
      <c r="CE35" s="528"/>
      <c r="CF35" s="528"/>
      <c r="CG35" s="529"/>
      <c r="CH35" s="63" t="s">
        <v>420</v>
      </c>
      <c r="CI35" s="64"/>
      <c r="CX35" s="911">
        <f t="shared" si="0"/>
        <v>0</v>
      </c>
      <c r="CY35" s="1010"/>
      <c r="DA35" s="1068"/>
    </row>
    <row r="36" spans="1:105" s="68" customFormat="1" ht="90" x14ac:dyDescent="0.2">
      <c r="A36" s="20" t="s">
        <v>75</v>
      </c>
      <c r="C36" s="539"/>
      <c r="D36" s="539"/>
      <c r="E36" s="539"/>
      <c r="F36" s="539"/>
      <c r="G36" s="539"/>
      <c r="H36" s="539"/>
      <c r="I36" s="539"/>
      <c r="J36" s="1672"/>
      <c r="K36" s="1674"/>
      <c r="L36" s="520"/>
      <c r="M36" s="520"/>
      <c r="N36" s="520"/>
      <c r="O36" s="520"/>
      <c r="P36" s="20" t="s">
        <v>515</v>
      </c>
      <c r="Q36" s="559">
        <v>50</v>
      </c>
      <c r="R36" s="559">
        <v>40</v>
      </c>
      <c r="S36" s="559">
        <v>40</v>
      </c>
      <c r="T36" s="559">
        <v>40</v>
      </c>
      <c r="U36" s="16" t="s">
        <v>516</v>
      </c>
      <c r="V36" s="1155" t="s">
        <v>137</v>
      </c>
      <c r="W36" s="223">
        <v>1</v>
      </c>
      <c r="X36" s="223">
        <v>1</v>
      </c>
      <c r="Y36" s="1302">
        <f>(((X36/W36*100)*AL36)/100)</f>
        <v>25</v>
      </c>
      <c r="Z36" s="1121" t="s">
        <v>1032</v>
      </c>
      <c r="AA36" s="1302">
        <v>40</v>
      </c>
      <c r="AB36" s="223">
        <v>1</v>
      </c>
      <c r="AC36" s="223">
        <v>0</v>
      </c>
      <c r="AD36" s="223">
        <f>(((AC36/AB36*100)*AM36)/100)</f>
        <v>0</v>
      </c>
      <c r="AE36" s="1121" t="s">
        <v>1212</v>
      </c>
      <c r="AF36" s="223">
        <v>30</v>
      </c>
      <c r="AG36" s="223">
        <v>1</v>
      </c>
      <c r="AH36" s="223">
        <v>1</v>
      </c>
      <c r="AI36" s="425">
        <v>1</v>
      </c>
      <c r="AJ36" s="223">
        <f t="shared" si="6"/>
        <v>1</v>
      </c>
      <c r="AK36" s="424">
        <v>25</v>
      </c>
      <c r="AL36" s="1310">
        <v>25</v>
      </c>
      <c r="AM36" s="1310">
        <f>+R36</f>
        <v>40</v>
      </c>
      <c r="AN36" s="509"/>
      <c r="AO36" s="183">
        <v>70000000</v>
      </c>
      <c r="AP36" s="183"/>
      <c r="AQ36" s="183">
        <f t="shared" si="7"/>
        <v>70000000</v>
      </c>
      <c r="AR36" s="411">
        <v>70000000</v>
      </c>
      <c r="AS36" s="411"/>
      <c r="AT36" s="411">
        <f>+AR36+AS36</f>
        <v>70000000</v>
      </c>
      <c r="AU36" s="710">
        <v>70000000</v>
      </c>
      <c r="AV36" s="710"/>
      <c r="AW36" s="710">
        <f t="shared" si="8"/>
        <v>70000000</v>
      </c>
      <c r="AX36" s="1512"/>
      <c r="AY36" s="1519">
        <f>+AX36/AR36*100</f>
        <v>0</v>
      </c>
      <c r="AZ36" s="1517"/>
      <c r="BA36" s="1519">
        <f>+AZ36/AT36*100</f>
        <v>0</v>
      </c>
      <c r="BB36" s="1517"/>
      <c r="BC36" s="1514" t="e">
        <f>+BB36/AY36*100</f>
        <v>#DIV/0!</v>
      </c>
      <c r="BD36" s="1082">
        <v>26284697.912</v>
      </c>
      <c r="BE36" s="1031"/>
      <c r="BF36" s="1031"/>
      <c r="BG36" s="1031">
        <f t="shared" si="9"/>
        <v>26284697.912</v>
      </c>
      <c r="BH36" s="1031">
        <v>19736000</v>
      </c>
      <c r="BI36" s="1031">
        <f>+BH36/BG36*100</f>
        <v>75.085511981439737</v>
      </c>
      <c r="BJ36" s="1032">
        <v>4934000</v>
      </c>
      <c r="BK36" s="1031">
        <f>+BJ36/BG36*100</f>
        <v>18.771377995359934</v>
      </c>
      <c r="BL36" s="1032">
        <v>4934000</v>
      </c>
      <c r="BM36" s="964">
        <f>+BL36/BG36*100</f>
        <v>18.771377995359934</v>
      </c>
      <c r="BN36" s="964">
        <v>30000000</v>
      </c>
      <c r="BO36" s="964"/>
      <c r="BP36" s="964"/>
      <c r="BQ36" s="964">
        <f t="shared" si="10"/>
        <v>30000000</v>
      </c>
      <c r="BR36" s="964">
        <v>30000000</v>
      </c>
      <c r="BS36" s="964"/>
      <c r="BT36" s="964"/>
      <c r="BU36" s="964">
        <f t="shared" si="11"/>
        <v>30000000</v>
      </c>
      <c r="BV36" s="964">
        <v>30000000</v>
      </c>
      <c r="BW36" s="964"/>
      <c r="BX36" s="964"/>
      <c r="BY36" s="964">
        <f t="shared" si="12"/>
        <v>30000000</v>
      </c>
      <c r="BZ36" s="967">
        <f>+AW36+BG36+BU36+BY36</f>
        <v>156284697.912</v>
      </c>
      <c r="CA36" s="1481"/>
      <c r="CB36" s="1478" t="e">
        <f>+CA36/BX36*100</f>
        <v>#DIV/0!</v>
      </c>
      <c r="CC36" s="1437"/>
      <c r="CD36" s="1514"/>
      <c r="CE36" s="528"/>
      <c r="CF36" s="528"/>
      <c r="CG36" s="529"/>
      <c r="CH36" s="64"/>
      <c r="CI36" s="64"/>
      <c r="CL36" s="522"/>
      <c r="CX36" s="911">
        <f t="shared" si="0"/>
        <v>-3715302.0879999995</v>
      </c>
      <c r="CY36" s="1010" t="s">
        <v>153</v>
      </c>
      <c r="DA36" s="1102"/>
    </row>
    <row r="37" spans="1:105" s="68" customFormat="1" ht="123.75" x14ac:dyDescent="0.2">
      <c r="A37" s="20"/>
      <c r="C37" s="539"/>
      <c r="D37" s="539"/>
      <c r="E37" s="539"/>
      <c r="F37" s="539"/>
      <c r="G37" s="539"/>
      <c r="H37" s="539"/>
      <c r="I37" s="539"/>
      <c r="J37" s="1672"/>
      <c r="K37" s="1674"/>
      <c r="L37" s="520"/>
      <c r="M37" s="520"/>
      <c r="N37" s="520"/>
      <c r="O37" s="520"/>
      <c r="P37" s="20" t="s">
        <v>681</v>
      </c>
      <c r="Q37" s="559"/>
      <c r="R37" s="559">
        <v>30</v>
      </c>
      <c r="S37" s="559">
        <v>30</v>
      </c>
      <c r="T37" s="559">
        <v>30</v>
      </c>
      <c r="U37" s="16" t="s">
        <v>627</v>
      </c>
      <c r="V37" s="1155" t="s">
        <v>147</v>
      </c>
      <c r="W37" s="223">
        <v>100</v>
      </c>
      <c r="X37" s="223">
        <v>100</v>
      </c>
      <c r="Y37" s="1302">
        <f>(((X37/W37*100)*AL37)/100)</f>
        <v>25</v>
      </c>
      <c r="Z37" s="1121" t="s">
        <v>1033</v>
      </c>
      <c r="AA37" s="1302"/>
      <c r="AB37" s="223">
        <v>100</v>
      </c>
      <c r="AC37" s="223">
        <v>0</v>
      </c>
      <c r="AD37" s="223">
        <f>(((AC37/AB37*100)*AM37)/100)</f>
        <v>0</v>
      </c>
      <c r="AE37" s="1121" t="s">
        <v>1213</v>
      </c>
      <c r="AF37" s="223">
        <v>30</v>
      </c>
      <c r="AG37" s="223">
        <v>100</v>
      </c>
      <c r="AH37" s="223">
        <v>100</v>
      </c>
      <c r="AI37" s="425">
        <v>100</v>
      </c>
      <c r="AJ37" s="223">
        <f>+(X37+AC37)/4</f>
        <v>25</v>
      </c>
      <c r="AK37" s="424">
        <v>25</v>
      </c>
      <c r="AL37" s="1310">
        <v>25</v>
      </c>
      <c r="AM37" s="1310">
        <v>30</v>
      </c>
      <c r="AN37" s="509"/>
      <c r="AO37" s="183"/>
      <c r="AP37" s="183"/>
      <c r="AQ37" s="183">
        <f t="shared" si="7"/>
        <v>0</v>
      </c>
      <c r="AR37" s="411"/>
      <c r="AS37" s="411"/>
      <c r="AT37" s="411"/>
      <c r="AU37" s="710">
        <v>50200000</v>
      </c>
      <c r="AV37" s="710"/>
      <c r="AW37" s="710">
        <f t="shared" si="8"/>
        <v>50200000</v>
      </c>
      <c r="AX37" s="1512"/>
      <c r="AY37" s="1514" t="e">
        <f>+AX37/AR37*100</f>
        <v>#DIV/0!</v>
      </c>
      <c r="AZ37" s="1517"/>
      <c r="BA37" s="1514" t="e">
        <f>+AZ37/AT37*100</f>
        <v>#DIV/0!</v>
      </c>
      <c r="BB37" s="1517"/>
      <c r="BC37" s="1514" t="e">
        <f>+BB37/AY37*100</f>
        <v>#DIV/0!</v>
      </c>
      <c r="BD37" s="1082">
        <v>108692130.086</v>
      </c>
      <c r="BE37" s="1031"/>
      <c r="BF37" s="1031"/>
      <c r="BG37" s="1031">
        <f t="shared" si="9"/>
        <v>108692130.086</v>
      </c>
      <c r="BH37" s="1031">
        <v>105234652</v>
      </c>
      <c r="BI37" s="1031">
        <f>+BH37/BG37*100</f>
        <v>96.819017086826477</v>
      </c>
      <c r="BJ37" s="1032">
        <v>0</v>
      </c>
      <c r="BK37" s="1031">
        <f>+BJ37/BG37*100</f>
        <v>0</v>
      </c>
      <c r="BL37" s="1032">
        <v>0</v>
      </c>
      <c r="BM37" s="964">
        <f>+BL37/BG37*100</f>
        <v>0</v>
      </c>
      <c r="BN37" s="964">
        <v>100000000</v>
      </c>
      <c r="BO37" s="964"/>
      <c r="BP37" s="964"/>
      <c r="BQ37" s="964">
        <f t="shared" si="10"/>
        <v>100000000</v>
      </c>
      <c r="BR37" s="964">
        <v>100000000</v>
      </c>
      <c r="BS37" s="971"/>
      <c r="BT37" s="964"/>
      <c r="BU37" s="964">
        <f t="shared" si="11"/>
        <v>100000000</v>
      </c>
      <c r="BV37" s="964">
        <v>150000000</v>
      </c>
      <c r="BW37" s="964"/>
      <c r="BX37" s="971"/>
      <c r="BY37" s="964">
        <f t="shared" si="12"/>
        <v>150000000</v>
      </c>
      <c r="BZ37" s="967">
        <f>+AW37+BG37+BU37+BY37</f>
        <v>408892130.08599997</v>
      </c>
      <c r="CA37" s="1481"/>
      <c r="CB37" s="1478" t="e">
        <f>+CA37/BX37*100</f>
        <v>#DIV/0!</v>
      </c>
      <c r="CC37" s="1437"/>
      <c r="CD37" s="1514"/>
      <c r="CE37" s="528"/>
      <c r="CF37" s="528"/>
      <c r="CG37" s="529"/>
      <c r="CH37" s="64"/>
      <c r="CI37" s="64"/>
      <c r="CL37" s="517">
        <v>50200000</v>
      </c>
      <c r="CX37" s="911">
        <f t="shared" si="0"/>
        <v>8692130.0859999955</v>
      </c>
      <c r="CY37" s="1010"/>
      <c r="DA37" s="1102"/>
    </row>
    <row r="38" spans="1:105" s="68" customFormat="1" ht="107.25" customHeight="1" x14ac:dyDescent="0.2">
      <c r="A38" s="20"/>
      <c r="C38" s="539"/>
      <c r="D38" s="539"/>
      <c r="E38" s="539"/>
      <c r="F38" s="539"/>
      <c r="G38" s="539"/>
      <c r="H38" s="539"/>
      <c r="I38" s="539"/>
      <c r="J38" s="1672"/>
      <c r="K38" s="1674"/>
      <c r="L38" s="521"/>
      <c r="M38" s="521"/>
      <c r="N38" s="521"/>
      <c r="O38" s="521"/>
      <c r="P38" s="20" t="s">
        <v>522</v>
      </c>
      <c r="Q38" s="559"/>
      <c r="R38" s="559">
        <v>30</v>
      </c>
      <c r="S38" s="559">
        <v>30</v>
      </c>
      <c r="T38" s="559">
        <v>30</v>
      </c>
      <c r="U38" s="16" t="s">
        <v>699</v>
      </c>
      <c r="V38" s="1155" t="s">
        <v>147</v>
      </c>
      <c r="W38" s="223"/>
      <c r="X38" s="223"/>
      <c r="Y38" s="1302"/>
      <c r="Z38" s="1121"/>
      <c r="AA38" s="1302"/>
      <c r="AB38" s="223">
        <v>100</v>
      </c>
      <c r="AC38" s="223">
        <v>0</v>
      </c>
      <c r="AD38" s="223">
        <f>(((AC38/AB38*100)*AM38)/100)</f>
        <v>0</v>
      </c>
      <c r="AE38" s="1121" t="s">
        <v>1214</v>
      </c>
      <c r="AF38" s="223">
        <v>30</v>
      </c>
      <c r="AG38" s="223">
        <v>100</v>
      </c>
      <c r="AH38" s="223">
        <v>100</v>
      </c>
      <c r="AI38" s="425">
        <v>100</v>
      </c>
      <c r="AJ38" s="1157">
        <f>+AC38</f>
        <v>0</v>
      </c>
      <c r="AK38" s="419">
        <f>+AJ38/AI38*100</f>
        <v>0</v>
      </c>
      <c r="AL38" s="424"/>
      <c r="AM38" s="1310">
        <f>+R38</f>
        <v>30</v>
      </c>
      <c r="AN38" s="560"/>
      <c r="AO38" s="251"/>
      <c r="AP38" s="251"/>
      <c r="AQ38" s="251">
        <f t="shared" si="7"/>
        <v>0</v>
      </c>
      <c r="AR38" s="561"/>
      <c r="AS38" s="561"/>
      <c r="AT38" s="561"/>
      <c r="AU38" s="706"/>
      <c r="AV38" s="706"/>
      <c r="AW38" s="706">
        <f t="shared" si="8"/>
        <v>0</v>
      </c>
      <c r="AX38" s="1430"/>
      <c r="AY38" s="1515" t="e">
        <f>+AX38/AR38*100</f>
        <v>#DIV/0!</v>
      </c>
      <c r="AZ38" s="1518"/>
      <c r="BA38" s="1515" t="e">
        <f>+AZ38/AT38*100</f>
        <v>#DIV/0!</v>
      </c>
      <c r="BB38" s="1518"/>
      <c r="BC38" s="1515" t="e">
        <f>+BB38/AY38*100</f>
        <v>#DIV/0!</v>
      </c>
      <c r="BD38" s="1083">
        <v>45023172</v>
      </c>
      <c r="BE38" s="1022"/>
      <c r="BF38" s="1022"/>
      <c r="BG38" s="1022">
        <f t="shared" si="9"/>
        <v>45023172</v>
      </c>
      <c r="BH38" s="1031">
        <v>19713000</v>
      </c>
      <c r="BI38" s="1031">
        <f>+BH38/BG38*100</f>
        <v>43.78412076341489</v>
      </c>
      <c r="BJ38" s="1032">
        <v>2217000</v>
      </c>
      <c r="BK38" s="1031">
        <f>+BJ38/BG38*100</f>
        <v>4.924131067442338</v>
      </c>
      <c r="BL38" s="1032">
        <v>2217000</v>
      </c>
      <c r="BM38" s="964">
        <f>+BL38/BG38*100</f>
        <v>4.924131067442338</v>
      </c>
      <c r="BN38" s="950">
        <v>50000000</v>
      </c>
      <c r="BO38" s="950"/>
      <c r="BP38" s="950"/>
      <c r="BQ38" s="950">
        <f t="shared" si="10"/>
        <v>50000000</v>
      </c>
      <c r="BR38" s="950">
        <v>50000000</v>
      </c>
      <c r="BS38" s="950"/>
      <c r="BT38" s="971"/>
      <c r="BU38" s="950">
        <f t="shared" si="11"/>
        <v>50000000</v>
      </c>
      <c r="BV38" s="950">
        <v>70000000</v>
      </c>
      <c r="BW38" s="950"/>
      <c r="BX38" s="950"/>
      <c r="BY38" s="950">
        <f t="shared" si="12"/>
        <v>70000000</v>
      </c>
      <c r="BZ38" s="953">
        <f>+AW38+BG38+BU38+BY38</f>
        <v>165023172</v>
      </c>
      <c r="CA38" s="1482"/>
      <c r="CB38" s="1479" t="e">
        <f>+CA38/BX38*100</f>
        <v>#DIV/0!</v>
      </c>
      <c r="CC38" s="1439"/>
      <c r="CD38" s="1515"/>
      <c r="CE38" s="542"/>
      <c r="CF38" s="528"/>
      <c r="CG38" s="529"/>
      <c r="CH38" s="64"/>
      <c r="CI38" s="64"/>
      <c r="CL38" s="523"/>
      <c r="CX38" s="911">
        <f t="shared" si="0"/>
        <v>-4976828</v>
      </c>
      <c r="CY38" s="1010"/>
      <c r="DA38" s="1102"/>
    </row>
    <row r="39" spans="1:105" s="830" customFormat="1" ht="56.25" x14ac:dyDescent="0.2">
      <c r="A39" s="819" t="s">
        <v>82</v>
      </c>
      <c r="C39" s="848"/>
      <c r="D39" s="848"/>
      <c r="E39" s="848"/>
      <c r="F39" s="848"/>
      <c r="G39" s="848"/>
      <c r="H39" s="848"/>
      <c r="I39" s="848"/>
      <c r="J39" s="819" t="s">
        <v>853</v>
      </c>
      <c r="K39" s="819"/>
      <c r="L39" s="818">
        <v>25</v>
      </c>
      <c r="M39" s="818">
        <v>25</v>
      </c>
      <c r="N39" s="818">
        <v>25</v>
      </c>
      <c r="O39" s="818">
        <v>25</v>
      </c>
      <c r="P39" s="814"/>
      <c r="Q39" s="849"/>
      <c r="R39" s="849"/>
      <c r="S39" s="849"/>
      <c r="T39" s="849"/>
      <c r="U39" s="849"/>
      <c r="V39" s="850"/>
      <c r="W39" s="1091"/>
      <c r="X39" s="1091"/>
      <c r="Y39" s="1092">
        <f>(((Y40+Y41)/2)+((Y42+Y43+Y44+Y45)/4)+Y46)*((AL39)/100)</f>
        <v>25</v>
      </c>
      <c r="Z39" s="375"/>
      <c r="AA39" s="375">
        <f>((((AA40+AA41+AA42+AA43+AA44+AA45+AA46)/7)*AL39)/100)</f>
        <v>10.714285714285714</v>
      </c>
      <c r="AB39" s="850"/>
      <c r="AC39" s="1228"/>
      <c r="AD39" s="1370">
        <f>(((AD40+AD41)/2)+((AD42+AD43+AD44+AD45)/4)+AD46)*((AM39)/100)</f>
        <v>7.078125</v>
      </c>
      <c r="AE39" s="1228"/>
      <c r="AF39" s="1370">
        <f>(AF40+AF41+AF42+AF43+AF44+AF45+AF46)/7</f>
        <v>46.642857142857146</v>
      </c>
      <c r="AG39" s="1228"/>
      <c r="AH39" s="1228"/>
      <c r="AI39" s="1228"/>
      <c r="AJ39" s="1228"/>
      <c r="AK39" s="1228">
        <f>((AK40+AK41+AK42+AK43+AK44+AK45+AK46)/7)</f>
        <v>33.606227106227102</v>
      </c>
      <c r="AL39" s="1228">
        <f>+L39</f>
        <v>25</v>
      </c>
      <c r="AM39" s="1228">
        <v>25</v>
      </c>
      <c r="AN39" s="1228"/>
      <c r="AO39" s="821">
        <f>SUM(AO40:AO46)</f>
        <v>150000000</v>
      </c>
      <c r="AP39" s="821">
        <f>SUM(AP40:AP46)</f>
        <v>0</v>
      </c>
      <c r="AQ39" s="821">
        <f t="shared" si="7"/>
        <v>150000000</v>
      </c>
      <c r="AR39" s="822">
        <f>SUM(AR40:AR46)</f>
        <v>179676762</v>
      </c>
      <c r="AS39" s="822"/>
      <c r="AT39" s="822">
        <f>+AT40</f>
        <v>179676762</v>
      </c>
      <c r="AU39" s="823">
        <f>SUM(AU40:AU46)</f>
        <v>179676762</v>
      </c>
      <c r="AV39" s="823">
        <f>SUM(AV40:AV46)</f>
        <v>0</v>
      </c>
      <c r="AW39" s="823">
        <f t="shared" si="8"/>
        <v>179676762</v>
      </c>
      <c r="AX39" s="824">
        <f>SUM(AX40:AX46)</f>
        <v>157680658</v>
      </c>
      <c r="AY39" s="825">
        <f>+AX39/AW39*100</f>
        <v>87.757958371934592</v>
      </c>
      <c r="AZ39" s="826">
        <f>SUM(AZ40:AZ46)</f>
        <v>121101534</v>
      </c>
      <c r="BA39" s="825">
        <f>+AZ39/AW39*100</f>
        <v>67.399664070081585</v>
      </c>
      <c r="BB39" s="826">
        <f>SUM(BB40:BB46)</f>
        <v>121101534</v>
      </c>
      <c r="BC39" s="825">
        <f>+BB39/AW39*100</f>
        <v>67.399664070081585</v>
      </c>
      <c r="BD39" s="947">
        <f>SUM(BD40:BD46)</f>
        <v>186648000</v>
      </c>
      <c r="BE39" s="947">
        <f>SUM(BE40:BE46)</f>
        <v>0</v>
      </c>
      <c r="BF39" s="947">
        <f>SUM(BF40:BF46)</f>
        <v>0</v>
      </c>
      <c r="BG39" s="947">
        <f t="shared" si="9"/>
        <v>186648000</v>
      </c>
      <c r="BH39" s="947">
        <f>SUM(BH40:BH46)</f>
        <v>101824650</v>
      </c>
      <c r="BI39" s="947">
        <f>+BH39/BG39*100</f>
        <v>54.554375080365183</v>
      </c>
      <c r="BJ39" s="947">
        <f>SUM(BJ40:BJ46)</f>
        <v>46835500</v>
      </c>
      <c r="BK39" s="947">
        <f>+BJ39/BG39*100</f>
        <v>25.092955724143845</v>
      </c>
      <c r="BL39" s="947">
        <f>SUM(BL40:BL46)</f>
        <v>46835500</v>
      </c>
      <c r="BM39" s="947">
        <f>+BL39/BG39*100</f>
        <v>25.092955724143845</v>
      </c>
      <c r="BN39" s="947">
        <f>SUM(BN40:BN46)</f>
        <v>153000000</v>
      </c>
      <c r="BO39" s="947">
        <f>SUM(BO40:BO46)</f>
        <v>0</v>
      </c>
      <c r="BP39" s="947">
        <f>SUM(BP40:BP46)</f>
        <v>0</v>
      </c>
      <c r="BQ39" s="947">
        <f t="shared" si="10"/>
        <v>153000000</v>
      </c>
      <c r="BR39" s="947">
        <f>SUM(BR40)</f>
        <v>155000000</v>
      </c>
      <c r="BS39" s="947">
        <f>SUM(BS40:BS46)</f>
        <v>0</v>
      </c>
      <c r="BT39" s="947">
        <f>SUM(BT40:BT46)</f>
        <v>0</v>
      </c>
      <c r="BU39" s="947">
        <f t="shared" si="11"/>
        <v>155000000</v>
      </c>
      <c r="BV39" s="947">
        <f>SUM(BV40:BV46)</f>
        <v>159000000</v>
      </c>
      <c r="BW39" s="947">
        <f>SUM(BW40:BW46)</f>
        <v>0</v>
      </c>
      <c r="BX39" s="947">
        <f>SUM(BX40:BX46)</f>
        <v>0</v>
      </c>
      <c r="BY39" s="947">
        <f t="shared" si="12"/>
        <v>159000000</v>
      </c>
      <c r="BZ39" s="948">
        <f>SUM(BZ40:BZ46)</f>
        <v>680324762</v>
      </c>
      <c r="CA39" s="948">
        <f>SUM(CA40:CA46)</f>
        <v>259505308</v>
      </c>
      <c r="CB39" s="949">
        <f>+CA39/BZ39*100</f>
        <v>38.144327899680356</v>
      </c>
      <c r="CC39" s="827"/>
      <c r="CD39" s="825"/>
      <c r="CE39" s="828"/>
      <c r="CF39" s="834">
        <f>+BZ40</f>
        <v>680324762</v>
      </c>
      <c r="CG39" s="829">
        <v>29676762</v>
      </c>
      <c r="CH39" s="815"/>
      <c r="CI39" s="815"/>
      <c r="CJ39" s="815"/>
      <c r="CL39" s="821"/>
      <c r="CX39" s="911">
        <f t="shared" si="0"/>
        <v>33648000</v>
      </c>
      <c r="CY39" s="1009"/>
      <c r="DA39" s="1067"/>
    </row>
    <row r="40" spans="1:105" s="68" customFormat="1" ht="87" customHeight="1" x14ac:dyDescent="0.2">
      <c r="A40" s="16" t="s">
        <v>83</v>
      </c>
      <c r="C40" s="539"/>
      <c r="D40" s="539"/>
      <c r="E40" s="539"/>
      <c r="F40" s="539"/>
      <c r="G40" s="539"/>
      <c r="H40" s="539"/>
      <c r="I40" s="539"/>
      <c r="J40" s="1521"/>
      <c r="K40" s="1449" t="s">
        <v>835</v>
      </c>
      <c r="L40" s="519"/>
      <c r="M40" s="519"/>
      <c r="N40" s="519"/>
      <c r="O40" s="519"/>
      <c r="P40" s="1535" t="s">
        <v>83</v>
      </c>
      <c r="Q40" s="1442">
        <v>25</v>
      </c>
      <c r="R40" s="1442">
        <v>25</v>
      </c>
      <c r="S40" s="1442">
        <v>25</v>
      </c>
      <c r="T40" s="1442">
        <v>25</v>
      </c>
      <c r="U40" s="750" t="s">
        <v>801</v>
      </c>
      <c r="V40" s="562" t="s">
        <v>147</v>
      </c>
      <c r="W40" s="563">
        <v>100</v>
      </c>
      <c r="X40" s="563">
        <v>100</v>
      </c>
      <c r="Y40" s="1302">
        <f>(((X40/W40*100)*AL40)/100)</f>
        <v>25</v>
      </c>
      <c r="Z40" s="1134" t="s">
        <v>1034</v>
      </c>
      <c r="AA40" s="1317">
        <f>+Y40</f>
        <v>25</v>
      </c>
      <c r="AB40" s="563">
        <v>100</v>
      </c>
      <c r="AC40" s="563">
        <v>50</v>
      </c>
      <c r="AD40" s="1314">
        <f t="shared" ref="AD40:AD46" si="13">(((AC40/AB40*100)*AM40)/100)</f>
        <v>12.5</v>
      </c>
      <c r="AE40" s="1134" t="s">
        <v>1215</v>
      </c>
      <c r="AF40" s="563">
        <v>50</v>
      </c>
      <c r="AG40" s="563">
        <v>100</v>
      </c>
      <c r="AH40" s="563">
        <v>100</v>
      </c>
      <c r="AI40" s="563">
        <v>100</v>
      </c>
      <c r="AJ40" s="214">
        <f>25+12.5</f>
        <v>37.5</v>
      </c>
      <c r="AK40" s="424">
        <f>+AJ40/AI40*100</f>
        <v>37.5</v>
      </c>
      <c r="AL40" s="1410">
        <v>25</v>
      </c>
      <c r="AM40" s="1410">
        <f>+R40</f>
        <v>25</v>
      </c>
      <c r="AN40" s="564" t="s">
        <v>1140</v>
      </c>
      <c r="AO40" s="1598">
        <v>150000000</v>
      </c>
      <c r="AP40" s="1598"/>
      <c r="AQ40" s="1598">
        <f t="shared" si="7"/>
        <v>150000000</v>
      </c>
      <c r="AR40" s="1506">
        <v>179676762</v>
      </c>
      <c r="AS40" s="1599"/>
      <c r="AT40" s="1426">
        <f>+AR40+AS40</f>
        <v>179676762</v>
      </c>
      <c r="AU40" s="1509">
        <v>179676762</v>
      </c>
      <c r="AV40" s="1600"/>
      <c r="AW40" s="1600">
        <f t="shared" si="8"/>
        <v>179676762</v>
      </c>
      <c r="AX40" s="1429">
        <v>157680658</v>
      </c>
      <c r="AY40" s="1513">
        <f>+AX40/AW40*100</f>
        <v>87.757958371934592</v>
      </c>
      <c r="AZ40" s="1516">
        <v>121101534</v>
      </c>
      <c r="BA40" s="1513">
        <f>+AZ40/AW40*100</f>
        <v>67.399664070081585</v>
      </c>
      <c r="BB40" s="1516">
        <v>121101534</v>
      </c>
      <c r="BC40" s="1513">
        <f>+BB40/AW40*100</f>
        <v>67.399664070081585</v>
      </c>
      <c r="BD40" s="1395">
        <v>186648000</v>
      </c>
      <c r="BE40" s="1661"/>
      <c r="BF40" s="1661"/>
      <c r="BG40" s="1395">
        <f t="shared" si="9"/>
        <v>186648000</v>
      </c>
      <c r="BH40" s="1395">
        <v>101824650</v>
      </c>
      <c r="BI40" s="1395">
        <f>+BH40/BG40*100</f>
        <v>54.554375080365183</v>
      </c>
      <c r="BJ40" s="1395">
        <v>46835500</v>
      </c>
      <c r="BK40" s="1395">
        <f>+BJ40/BG40*100</f>
        <v>25.092955724143845</v>
      </c>
      <c r="BL40" s="1395">
        <v>46835500</v>
      </c>
      <c r="BM40" s="1395">
        <f>+BL40/BG40*100</f>
        <v>25.092955724143845</v>
      </c>
      <c r="BN40" s="1395">
        <f>+ROUND(AO40*0.02,0)+AO40</f>
        <v>153000000</v>
      </c>
      <c r="BO40" s="1661"/>
      <c r="BP40" s="1661"/>
      <c r="BQ40" s="1395">
        <f t="shared" si="10"/>
        <v>153000000</v>
      </c>
      <c r="BR40" s="1395">
        <v>155000000</v>
      </c>
      <c r="BS40" s="1661"/>
      <c r="BT40" s="1661"/>
      <c r="BU40" s="1395">
        <f t="shared" si="11"/>
        <v>155000000</v>
      </c>
      <c r="BV40" s="1395">
        <v>159000000</v>
      </c>
      <c r="BW40" s="1661"/>
      <c r="BX40" s="1661"/>
      <c r="BY40" s="1395">
        <f t="shared" si="12"/>
        <v>159000000</v>
      </c>
      <c r="BZ40" s="1401">
        <f>+AW40+BG40+BU40+BY40</f>
        <v>680324762</v>
      </c>
      <c r="CA40" s="1480">
        <f>+BH40+AX40</f>
        <v>259505308</v>
      </c>
      <c r="CB40" s="1477">
        <f>+CA40/BZ40*100</f>
        <v>38.144327899680356</v>
      </c>
      <c r="CC40" s="1663" t="s">
        <v>890</v>
      </c>
      <c r="CD40" s="1735" t="s">
        <v>1183</v>
      </c>
      <c r="CE40" s="528"/>
      <c r="CF40" s="528"/>
      <c r="CG40" s="529"/>
      <c r="CH40" s="64" t="s">
        <v>462</v>
      </c>
      <c r="CI40" s="64"/>
      <c r="CJ40" s="64"/>
      <c r="CL40" s="517"/>
      <c r="CX40" s="911">
        <f t="shared" si="0"/>
        <v>33648000</v>
      </c>
      <c r="CY40" s="1017"/>
      <c r="CZ40" s="1014"/>
      <c r="DA40" s="1103"/>
    </row>
    <row r="41" spans="1:105" s="68" customFormat="1" ht="112.5" x14ac:dyDescent="0.2">
      <c r="A41" s="16"/>
      <c r="C41" s="539"/>
      <c r="D41" s="539"/>
      <c r="E41" s="539"/>
      <c r="F41" s="539"/>
      <c r="G41" s="539"/>
      <c r="H41" s="539"/>
      <c r="I41" s="539"/>
      <c r="J41" s="1475"/>
      <c r="K41" s="1451"/>
      <c r="L41" s="520"/>
      <c r="M41" s="520"/>
      <c r="N41" s="520"/>
      <c r="O41" s="520"/>
      <c r="P41" s="1536"/>
      <c r="Q41" s="1444"/>
      <c r="R41" s="1444"/>
      <c r="S41" s="1444"/>
      <c r="T41" s="1444"/>
      <c r="U41" s="750" t="s">
        <v>806</v>
      </c>
      <c r="V41" s="737" t="s">
        <v>727</v>
      </c>
      <c r="W41" s="226">
        <v>1</v>
      </c>
      <c r="X41" s="226">
        <v>1</v>
      </c>
      <c r="Y41" s="1302">
        <f>(((X41/W41*100)*AL40)/100)</f>
        <v>25</v>
      </c>
      <c r="Z41" s="1121" t="s">
        <v>1035</v>
      </c>
      <c r="AA41" s="1312">
        <v>50</v>
      </c>
      <c r="AB41" s="226">
        <v>2</v>
      </c>
      <c r="AC41" s="226">
        <v>0</v>
      </c>
      <c r="AD41" s="223">
        <f t="shared" si="13"/>
        <v>0</v>
      </c>
      <c r="AE41" s="1121" t="s">
        <v>1216</v>
      </c>
      <c r="AF41" s="226">
        <v>50</v>
      </c>
      <c r="AG41" s="226">
        <v>2</v>
      </c>
      <c r="AH41" s="563">
        <v>3</v>
      </c>
      <c r="AI41" s="565">
        <v>3</v>
      </c>
      <c r="AJ41" s="223">
        <f t="shared" ref="AJ41:AJ46" si="14">+X41+AC41</f>
        <v>1</v>
      </c>
      <c r="AK41" s="424">
        <f>+AJ41/AI41*100</f>
        <v>33.333333333333329</v>
      </c>
      <c r="AL41" s="1412"/>
      <c r="AM41" s="1412"/>
      <c r="AN41" s="564" t="s">
        <v>1354</v>
      </c>
      <c r="AO41" s="1598"/>
      <c r="AP41" s="1598"/>
      <c r="AQ41" s="1598"/>
      <c r="AR41" s="1507"/>
      <c r="AS41" s="1599"/>
      <c r="AT41" s="1427"/>
      <c r="AU41" s="1510"/>
      <c r="AV41" s="1600"/>
      <c r="AW41" s="1600"/>
      <c r="AX41" s="1512"/>
      <c r="AY41" s="1514" t="e">
        <f t="shared" ref="AY41:AY46" si="15">+AX41/AR41*100</f>
        <v>#DIV/0!</v>
      </c>
      <c r="AZ41" s="1517"/>
      <c r="BA41" s="1514" t="e">
        <f t="shared" ref="BA41:BA46" si="16">+AZ41/AT41*100</f>
        <v>#DIV/0!</v>
      </c>
      <c r="BB41" s="1517"/>
      <c r="BC41" s="1514" t="e">
        <f t="shared" ref="BC41:BC46" si="17">+BB41/AY41*100</f>
        <v>#DIV/0!</v>
      </c>
      <c r="BD41" s="1395"/>
      <c r="BE41" s="1662"/>
      <c r="BF41" s="1662"/>
      <c r="BG41" s="1395"/>
      <c r="BH41" s="1395"/>
      <c r="BI41" s="1395"/>
      <c r="BJ41" s="1395"/>
      <c r="BK41" s="1395"/>
      <c r="BL41" s="1395"/>
      <c r="BM41" s="1395"/>
      <c r="BN41" s="1395"/>
      <c r="BO41" s="1662"/>
      <c r="BP41" s="1662"/>
      <c r="BQ41" s="1395"/>
      <c r="BR41" s="1395"/>
      <c r="BS41" s="1662"/>
      <c r="BT41" s="1662"/>
      <c r="BU41" s="1395"/>
      <c r="BV41" s="1395"/>
      <c r="BW41" s="1662"/>
      <c r="BX41" s="1662"/>
      <c r="BY41" s="1395"/>
      <c r="BZ41" s="1402"/>
      <c r="CA41" s="1481"/>
      <c r="CB41" s="1478" t="e">
        <f t="shared" ref="CB41:CB46" si="18">+CA41/BX41*100</f>
        <v>#DIV/0!</v>
      </c>
      <c r="CC41" s="1663"/>
      <c r="CD41" s="1736"/>
      <c r="CE41" s="528"/>
      <c r="CF41" s="528"/>
      <c r="CG41" s="529"/>
      <c r="CH41" s="64"/>
      <c r="CI41" s="64"/>
      <c r="CJ41" s="64"/>
      <c r="CL41" s="522"/>
      <c r="CX41" s="911">
        <f t="shared" si="0"/>
        <v>0</v>
      </c>
      <c r="CY41" s="1010"/>
      <c r="DA41" s="1102"/>
    </row>
    <row r="42" spans="1:105" s="68" customFormat="1" ht="101.25" x14ac:dyDescent="0.2">
      <c r="A42" s="16" t="s">
        <v>84</v>
      </c>
      <c r="C42" s="539"/>
      <c r="D42" s="539"/>
      <c r="E42" s="539"/>
      <c r="F42" s="539"/>
      <c r="G42" s="539"/>
      <c r="H42" s="539"/>
      <c r="I42" s="539"/>
      <c r="J42" s="1475"/>
      <c r="K42" s="1535" t="s">
        <v>421</v>
      </c>
      <c r="L42" s="520"/>
      <c r="M42" s="520"/>
      <c r="N42" s="520"/>
      <c r="O42" s="520"/>
      <c r="P42" s="1449" t="s">
        <v>460</v>
      </c>
      <c r="Q42" s="1442">
        <v>50</v>
      </c>
      <c r="R42" s="1442">
        <v>50</v>
      </c>
      <c r="S42" s="1442">
        <v>50</v>
      </c>
      <c r="T42" s="1442">
        <v>50</v>
      </c>
      <c r="U42" s="16" t="s">
        <v>776</v>
      </c>
      <c r="V42" s="737" t="s">
        <v>147</v>
      </c>
      <c r="W42" s="563">
        <v>100</v>
      </c>
      <c r="X42" s="563">
        <v>100</v>
      </c>
      <c r="Y42" s="1302">
        <f>(((X42/W42*100)*AL42)/100)</f>
        <v>50</v>
      </c>
      <c r="Z42" s="1134" t="s">
        <v>1036</v>
      </c>
      <c r="AA42" s="1317">
        <f>+Y42</f>
        <v>50</v>
      </c>
      <c r="AB42" s="563">
        <v>100</v>
      </c>
      <c r="AC42" s="563">
        <v>48</v>
      </c>
      <c r="AD42" s="223">
        <f t="shared" si="13"/>
        <v>24</v>
      </c>
      <c r="AE42" s="1134" t="s">
        <v>1217</v>
      </c>
      <c r="AF42" s="563">
        <v>48</v>
      </c>
      <c r="AG42" s="563">
        <v>100</v>
      </c>
      <c r="AH42" s="563">
        <v>100</v>
      </c>
      <c r="AI42" s="565">
        <v>100</v>
      </c>
      <c r="AJ42" s="223">
        <f>+(X42+AC42)/400*100</f>
        <v>37</v>
      </c>
      <c r="AK42" s="424">
        <f>+AJ42/AI42*100</f>
        <v>37</v>
      </c>
      <c r="AL42" s="1410">
        <v>50</v>
      </c>
      <c r="AM42" s="1442">
        <f>+R42</f>
        <v>50</v>
      </c>
      <c r="AN42" s="506" t="s">
        <v>809</v>
      </c>
      <c r="AO42" s="1598"/>
      <c r="AP42" s="1598"/>
      <c r="AQ42" s="1598"/>
      <c r="AR42" s="1507"/>
      <c r="AS42" s="1599"/>
      <c r="AT42" s="1427"/>
      <c r="AU42" s="1510"/>
      <c r="AV42" s="1600"/>
      <c r="AW42" s="1600"/>
      <c r="AX42" s="1512"/>
      <c r="AY42" s="1514" t="e">
        <f t="shared" si="15"/>
        <v>#DIV/0!</v>
      </c>
      <c r="AZ42" s="1517"/>
      <c r="BA42" s="1514" t="e">
        <f t="shared" si="16"/>
        <v>#DIV/0!</v>
      </c>
      <c r="BB42" s="1517"/>
      <c r="BC42" s="1514" t="e">
        <f t="shared" si="17"/>
        <v>#DIV/0!</v>
      </c>
      <c r="BD42" s="1395"/>
      <c r="BE42" s="1662"/>
      <c r="BF42" s="1662"/>
      <c r="BG42" s="1395"/>
      <c r="BH42" s="1395"/>
      <c r="BI42" s="1395"/>
      <c r="BJ42" s="1395"/>
      <c r="BK42" s="1395"/>
      <c r="BL42" s="1395"/>
      <c r="BM42" s="1395"/>
      <c r="BN42" s="1395"/>
      <c r="BO42" s="1662"/>
      <c r="BP42" s="1662"/>
      <c r="BQ42" s="1395"/>
      <c r="BR42" s="1395"/>
      <c r="BS42" s="1662"/>
      <c r="BT42" s="1662"/>
      <c r="BU42" s="1395"/>
      <c r="BV42" s="1395"/>
      <c r="BW42" s="1662"/>
      <c r="BX42" s="1662"/>
      <c r="BY42" s="1395"/>
      <c r="BZ42" s="1402">
        <f>+AQ42+BQ42+BU42+BY42</f>
        <v>0</v>
      </c>
      <c r="CA42" s="1481"/>
      <c r="CB42" s="1478" t="e">
        <f t="shared" si="18"/>
        <v>#DIV/0!</v>
      </c>
      <c r="CC42" s="1663"/>
      <c r="CD42" s="1736"/>
      <c r="CE42" s="528"/>
      <c r="CF42" s="528"/>
      <c r="CG42" s="529"/>
      <c r="CH42" s="64"/>
      <c r="CI42" s="64"/>
      <c r="CJ42" s="64"/>
      <c r="CL42" s="522"/>
      <c r="CX42" s="911">
        <f t="shared" si="0"/>
        <v>0</v>
      </c>
      <c r="CY42" s="1010"/>
      <c r="DA42" s="1104" t="s">
        <v>1218</v>
      </c>
    </row>
    <row r="43" spans="1:105" s="68" customFormat="1" ht="123.75" x14ac:dyDescent="0.2">
      <c r="A43" s="16"/>
      <c r="C43" s="539"/>
      <c r="D43" s="539"/>
      <c r="E43" s="539"/>
      <c r="F43" s="539"/>
      <c r="G43" s="539"/>
      <c r="H43" s="539"/>
      <c r="I43" s="539"/>
      <c r="J43" s="1475"/>
      <c r="K43" s="1562"/>
      <c r="L43" s="520"/>
      <c r="M43" s="520"/>
      <c r="N43" s="520"/>
      <c r="O43" s="520"/>
      <c r="P43" s="1450"/>
      <c r="Q43" s="1443"/>
      <c r="R43" s="1443"/>
      <c r="S43" s="1443"/>
      <c r="T43" s="1443"/>
      <c r="U43" s="16" t="s">
        <v>777</v>
      </c>
      <c r="V43" s="737" t="s">
        <v>625</v>
      </c>
      <c r="W43" s="563">
        <v>90</v>
      </c>
      <c r="X43" s="563">
        <v>43</v>
      </c>
      <c r="Y43" s="1302">
        <f>(((100)*AL42)/100)</f>
        <v>50</v>
      </c>
      <c r="Z43" s="1134" t="s">
        <v>1037</v>
      </c>
      <c r="AA43" s="1317">
        <f>+Y43</f>
        <v>50</v>
      </c>
      <c r="AB43" s="563">
        <v>90</v>
      </c>
      <c r="AC43" s="1318">
        <v>36.5</v>
      </c>
      <c r="AD43" s="223">
        <v>25</v>
      </c>
      <c r="AE43" s="1134" t="s">
        <v>1219</v>
      </c>
      <c r="AF43" s="563">
        <v>50</v>
      </c>
      <c r="AG43" s="563">
        <v>90</v>
      </c>
      <c r="AH43" s="563">
        <v>90</v>
      </c>
      <c r="AI43" s="565">
        <v>90</v>
      </c>
      <c r="AJ43" s="223">
        <f>+(X43+AC43)/2</f>
        <v>39.75</v>
      </c>
      <c r="AK43" s="424">
        <f>25+12.5</f>
        <v>37.5</v>
      </c>
      <c r="AL43" s="1411"/>
      <c r="AM43" s="1443"/>
      <c r="AN43" s="506"/>
      <c r="AO43" s="1598"/>
      <c r="AP43" s="1598"/>
      <c r="AQ43" s="1598"/>
      <c r="AR43" s="1507"/>
      <c r="AS43" s="1599"/>
      <c r="AT43" s="1427"/>
      <c r="AU43" s="1510"/>
      <c r="AV43" s="1600"/>
      <c r="AW43" s="1600"/>
      <c r="AX43" s="1512"/>
      <c r="AY43" s="1514" t="e">
        <f t="shared" si="15"/>
        <v>#DIV/0!</v>
      </c>
      <c r="AZ43" s="1517"/>
      <c r="BA43" s="1514" t="e">
        <f t="shared" si="16"/>
        <v>#DIV/0!</v>
      </c>
      <c r="BB43" s="1517"/>
      <c r="BC43" s="1514" t="e">
        <f t="shared" si="17"/>
        <v>#DIV/0!</v>
      </c>
      <c r="BD43" s="1395"/>
      <c r="BE43" s="1662"/>
      <c r="BF43" s="1662"/>
      <c r="BG43" s="1395"/>
      <c r="BH43" s="1395"/>
      <c r="BI43" s="1395"/>
      <c r="BJ43" s="1395"/>
      <c r="BK43" s="1395"/>
      <c r="BL43" s="1395"/>
      <c r="BM43" s="1395"/>
      <c r="BN43" s="1395"/>
      <c r="BO43" s="1662"/>
      <c r="BP43" s="1662"/>
      <c r="BQ43" s="1395"/>
      <c r="BR43" s="1395"/>
      <c r="BS43" s="1662"/>
      <c r="BT43" s="1662"/>
      <c r="BU43" s="1395"/>
      <c r="BV43" s="1395"/>
      <c r="BW43" s="1662"/>
      <c r="BX43" s="1662"/>
      <c r="BY43" s="1395"/>
      <c r="BZ43" s="1402"/>
      <c r="CA43" s="1481"/>
      <c r="CB43" s="1478" t="e">
        <f t="shared" si="18"/>
        <v>#DIV/0!</v>
      </c>
      <c r="CC43" s="1663"/>
      <c r="CD43" s="1736"/>
      <c r="CE43" s="528"/>
      <c r="CF43" s="528"/>
      <c r="CG43" s="529"/>
      <c r="CH43" s="64"/>
      <c r="CI43" s="64"/>
      <c r="CJ43" s="64"/>
      <c r="CL43" s="522"/>
      <c r="CX43" s="911">
        <f t="shared" si="0"/>
        <v>0</v>
      </c>
      <c r="CY43" s="1010"/>
      <c r="DA43" s="1102"/>
    </row>
    <row r="44" spans="1:105" s="68" customFormat="1" ht="101.25" x14ac:dyDescent="0.2">
      <c r="A44" s="16"/>
      <c r="C44" s="539"/>
      <c r="D44" s="539"/>
      <c r="E44" s="539"/>
      <c r="F44" s="539"/>
      <c r="G44" s="539"/>
      <c r="H44" s="539"/>
      <c r="I44" s="539"/>
      <c r="J44" s="1475"/>
      <c r="K44" s="1562"/>
      <c r="L44" s="520"/>
      <c r="M44" s="520"/>
      <c r="N44" s="520"/>
      <c r="O44" s="520"/>
      <c r="P44" s="1450"/>
      <c r="Q44" s="1443"/>
      <c r="R44" s="1443"/>
      <c r="S44" s="1443"/>
      <c r="T44" s="1443"/>
      <c r="U44" s="16" t="s">
        <v>376</v>
      </c>
      <c r="V44" s="737" t="s">
        <v>137</v>
      </c>
      <c r="W44" s="226">
        <v>500</v>
      </c>
      <c r="X44" s="226">
        <v>500</v>
      </c>
      <c r="Y44" s="1301">
        <f>(((X44/W44*100)*AL42)/100)</f>
        <v>50</v>
      </c>
      <c r="Z44" s="1121" t="s">
        <v>1038</v>
      </c>
      <c r="AA44" s="1312">
        <f>+Y44</f>
        <v>50</v>
      </c>
      <c r="AB44" s="226">
        <v>600</v>
      </c>
      <c r="AC44" s="563">
        <v>321</v>
      </c>
      <c r="AD44" s="223">
        <f>(((AC44/AB44*100)*AM42)/100)</f>
        <v>26.75</v>
      </c>
      <c r="AE44" s="1121" t="s">
        <v>1220</v>
      </c>
      <c r="AF44" s="1313">
        <v>53.5</v>
      </c>
      <c r="AG44" s="226">
        <v>700</v>
      </c>
      <c r="AH44" s="226">
        <v>800</v>
      </c>
      <c r="AI44" s="553">
        <f>+W44+AB44+AG44+AH44</f>
        <v>2600</v>
      </c>
      <c r="AJ44" s="223">
        <f t="shared" si="14"/>
        <v>821</v>
      </c>
      <c r="AK44" s="424">
        <f>+AJ44/AI44*100</f>
        <v>31.576923076923073</v>
      </c>
      <c r="AL44" s="1411"/>
      <c r="AM44" s="1443"/>
      <c r="AN44" s="554"/>
      <c r="AO44" s="1598"/>
      <c r="AP44" s="1598"/>
      <c r="AQ44" s="1598">
        <f>SUM(AO44:AP44)</f>
        <v>0</v>
      </c>
      <c r="AR44" s="1507"/>
      <c r="AS44" s="1599"/>
      <c r="AT44" s="1427"/>
      <c r="AU44" s="1510"/>
      <c r="AV44" s="1600"/>
      <c r="AW44" s="1600">
        <f>SUM(AU44:AV44)</f>
        <v>0</v>
      </c>
      <c r="AX44" s="1512"/>
      <c r="AY44" s="1514" t="e">
        <f t="shared" si="15"/>
        <v>#DIV/0!</v>
      </c>
      <c r="AZ44" s="1517"/>
      <c r="BA44" s="1514" t="e">
        <f t="shared" si="16"/>
        <v>#DIV/0!</v>
      </c>
      <c r="BB44" s="1517"/>
      <c r="BC44" s="1514" t="e">
        <f t="shared" si="17"/>
        <v>#DIV/0!</v>
      </c>
      <c r="BD44" s="1395"/>
      <c r="BE44" s="1662"/>
      <c r="BF44" s="1662"/>
      <c r="BG44" s="1395">
        <f>SUM(BD44:BF44)</f>
        <v>0</v>
      </c>
      <c r="BH44" s="1395"/>
      <c r="BI44" s="1395"/>
      <c r="BJ44" s="1395"/>
      <c r="BK44" s="1395"/>
      <c r="BL44" s="1395"/>
      <c r="BM44" s="1395"/>
      <c r="BN44" s="1395"/>
      <c r="BO44" s="1662"/>
      <c r="BP44" s="1662"/>
      <c r="BQ44" s="1395">
        <f>SUM(BN44:BP44)</f>
        <v>0</v>
      </c>
      <c r="BR44" s="1395"/>
      <c r="BS44" s="1662"/>
      <c r="BT44" s="1662"/>
      <c r="BU44" s="1395">
        <f>SUM(BR44:BT44)</f>
        <v>0</v>
      </c>
      <c r="BV44" s="1395"/>
      <c r="BW44" s="1662"/>
      <c r="BX44" s="1662"/>
      <c r="BY44" s="1395">
        <f>SUM(BV44:BX44)</f>
        <v>0</v>
      </c>
      <c r="BZ44" s="1402">
        <f>+AQ44+BQ44+BU44+BY44</f>
        <v>0</v>
      </c>
      <c r="CA44" s="1481"/>
      <c r="CB44" s="1478" t="e">
        <f t="shared" si="18"/>
        <v>#DIV/0!</v>
      </c>
      <c r="CC44" s="1663"/>
      <c r="CD44" s="1736"/>
      <c r="CE44" s="528"/>
      <c r="CF44" s="528"/>
      <c r="CG44" s="529"/>
      <c r="CH44" s="64"/>
      <c r="CI44" s="64"/>
      <c r="CJ44" s="64"/>
      <c r="CL44" s="522"/>
      <c r="CX44" s="911">
        <f t="shared" si="0"/>
        <v>0</v>
      </c>
      <c r="CY44" s="1010"/>
      <c r="DA44" s="1102"/>
    </row>
    <row r="45" spans="1:105" s="68" customFormat="1" ht="101.25" x14ac:dyDescent="0.2">
      <c r="A45" s="16"/>
      <c r="C45" s="539"/>
      <c r="D45" s="539"/>
      <c r="E45" s="539"/>
      <c r="F45" s="539"/>
      <c r="G45" s="539"/>
      <c r="H45" s="539"/>
      <c r="I45" s="539"/>
      <c r="J45" s="1475"/>
      <c r="K45" s="1536"/>
      <c r="L45" s="520"/>
      <c r="M45" s="520"/>
      <c r="N45" s="520"/>
      <c r="O45" s="520"/>
      <c r="P45" s="1451"/>
      <c r="Q45" s="1444"/>
      <c r="R45" s="1444"/>
      <c r="S45" s="1444"/>
      <c r="T45" s="1444"/>
      <c r="U45" s="750" t="s">
        <v>841</v>
      </c>
      <c r="V45" s="737" t="s">
        <v>137</v>
      </c>
      <c r="W45" s="226">
        <v>3</v>
      </c>
      <c r="X45" s="226">
        <v>3</v>
      </c>
      <c r="Y45" s="1113">
        <f>(((X45/W45*100)*AL42)/100)</f>
        <v>50</v>
      </c>
      <c r="Z45" s="1121" t="s">
        <v>1039</v>
      </c>
      <c r="AA45" s="1312">
        <v>50</v>
      </c>
      <c r="AB45" s="226">
        <v>3</v>
      </c>
      <c r="AC45" s="226">
        <v>0.75</v>
      </c>
      <c r="AD45" s="223">
        <f>(((AC45/AB45*100)*AM42)/100)</f>
        <v>12.5</v>
      </c>
      <c r="AE45" s="1121" t="s">
        <v>1221</v>
      </c>
      <c r="AF45" s="226">
        <v>50</v>
      </c>
      <c r="AG45" s="226">
        <v>3</v>
      </c>
      <c r="AH45" s="226">
        <v>3</v>
      </c>
      <c r="AI45" s="226">
        <v>3</v>
      </c>
      <c r="AJ45" s="223">
        <v>3</v>
      </c>
      <c r="AK45" s="424">
        <v>25</v>
      </c>
      <c r="AL45" s="1412"/>
      <c r="AM45" s="1444"/>
      <c r="AN45" s="506"/>
      <c r="AO45" s="1598"/>
      <c r="AP45" s="1598"/>
      <c r="AQ45" s="1598"/>
      <c r="AR45" s="1507"/>
      <c r="AS45" s="1599"/>
      <c r="AT45" s="1427"/>
      <c r="AU45" s="1510"/>
      <c r="AV45" s="1600"/>
      <c r="AW45" s="1600"/>
      <c r="AX45" s="1512"/>
      <c r="AY45" s="1514" t="e">
        <f t="shared" si="15"/>
        <v>#DIV/0!</v>
      </c>
      <c r="AZ45" s="1517"/>
      <c r="BA45" s="1514" t="e">
        <f t="shared" si="16"/>
        <v>#DIV/0!</v>
      </c>
      <c r="BB45" s="1517"/>
      <c r="BC45" s="1514" t="e">
        <f t="shared" si="17"/>
        <v>#DIV/0!</v>
      </c>
      <c r="BD45" s="1395"/>
      <c r="BE45" s="1662"/>
      <c r="BF45" s="1662"/>
      <c r="BG45" s="1395"/>
      <c r="BH45" s="1395"/>
      <c r="BI45" s="1395"/>
      <c r="BJ45" s="1395"/>
      <c r="BK45" s="1395"/>
      <c r="BL45" s="1395"/>
      <c r="BM45" s="1395"/>
      <c r="BN45" s="1395"/>
      <c r="BO45" s="1662"/>
      <c r="BP45" s="1662"/>
      <c r="BQ45" s="1395"/>
      <c r="BR45" s="1395"/>
      <c r="BS45" s="1662"/>
      <c r="BT45" s="1662"/>
      <c r="BU45" s="1395"/>
      <c r="BV45" s="1395"/>
      <c r="BW45" s="1662"/>
      <c r="BX45" s="1662"/>
      <c r="BY45" s="1395"/>
      <c r="BZ45" s="1402">
        <f>+AQ45+BQ45+BU45+BY45</f>
        <v>0</v>
      </c>
      <c r="CA45" s="1481"/>
      <c r="CB45" s="1478" t="e">
        <f t="shared" si="18"/>
        <v>#DIV/0!</v>
      </c>
      <c r="CC45" s="1663"/>
      <c r="CD45" s="1736"/>
      <c r="CE45" s="528"/>
      <c r="CF45" s="528"/>
      <c r="CG45" s="529"/>
      <c r="CH45" s="64"/>
      <c r="CI45" s="64"/>
      <c r="CJ45" s="64"/>
      <c r="CL45" s="522"/>
      <c r="CX45" s="911">
        <f t="shared" si="0"/>
        <v>0</v>
      </c>
      <c r="CY45" s="1010"/>
      <c r="DA45" s="1104" t="s">
        <v>1222</v>
      </c>
    </row>
    <row r="46" spans="1:105" s="68" customFormat="1" ht="90" x14ac:dyDescent="0.2">
      <c r="A46" s="16" t="s">
        <v>85</v>
      </c>
      <c r="C46" s="567"/>
      <c r="D46" s="567"/>
      <c r="E46" s="567"/>
      <c r="F46" s="567"/>
      <c r="G46" s="567"/>
      <c r="H46" s="567"/>
      <c r="I46" s="567"/>
      <c r="J46" s="1522"/>
      <c r="K46" s="16" t="s">
        <v>374</v>
      </c>
      <c r="L46" s="521"/>
      <c r="M46" s="521"/>
      <c r="N46" s="521"/>
      <c r="O46" s="521"/>
      <c r="P46" s="16" t="s">
        <v>375</v>
      </c>
      <c r="Q46" s="568">
        <v>25</v>
      </c>
      <c r="R46" s="568">
        <v>25</v>
      </c>
      <c r="S46" s="568">
        <v>25</v>
      </c>
      <c r="T46" s="568">
        <v>25</v>
      </c>
      <c r="U46" s="16" t="s">
        <v>703</v>
      </c>
      <c r="V46" s="1147" t="s">
        <v>137</v>
      </c>
      <c r="W46" s="292">
        <v>1</v>
      </c>
      <c r="X46" s="292">
        <v>1</v>
      </c>
      <c r="Y46" s="1302">
        <f>(((X46/W46*100)*AL46)/100)</f>
        <v>25</v>
      </c>
      <c r="Z46" s="569" t="s">
        <v>1040</v>
      </c>
      <c r="AA46" s="1319">
        <f>+Y46</f>
        <v>25</v>
      </c>
      <c r="AB46" s="292">
        <v>1</v>
      </c>
      <c r="AC46" s="292">
        <v>0</v>
      </c>
      <c r="AD46" s="223">
        <f t="shared" si="13"/>
        <v>0</v>
      </c>
      <c r="AE46" s="569" t="s">
        <v>1223</v>
      </c>
      <c r="AF46" s="292">
        <v>25</v>
      </c>
      <c r="AG46" s="292">
        <v>1</v>
      </c>
      <c r="AH46" s="292">
        <v>1</v>
      </c>
      <c r="AI46" s="570">
        <v>3</v>
      </c>
      <c r="AJ46" s="223">
        <f t="shared" si="14"/>
        <v>1</v>
      </c>
      <c r="AK46" s="1320">
        <f>+AJ46/AI46*100</f>
        <v>33.333333333333329</v>
      </c>
      <c r="AL46" s="1310">
        <v>25</v>
      </c>
      <c r="AM46" s="1310">
        <f>+R46</f>
        <v>25</v>
      </c>
      <c r="AN46" s="571" t="s">
        <v>728</v>
      </c>
      <c r="AO46" s="1529"/>
      <c r="AP46" s="1529"/>
      <c r="AQ46" s="1529">
        <f>SUM(AO46:AP46)</f>
        <v>0</v>
      </c>
      <c r="AR46" s="1508"/>
      <c r="AS46" s="1532"/>
      <c r="AT46" s="1428"/>
      <c r="AU46" s="1511"/>
      <c r="AV46" s="1419"/>
      <c r="AW46" s="1419">
        <f>SUM(AU46:AV46)</f>
        <v>0</v>
      </c>
      <c r="AX46" s="1430"/>
      <c r="AY46" s="1515" t="e">
        <f t="shared" si="15"/>
        <v>#DIV/0!</v>
      </c>
      <c r="AZ46" s="1518"/>
      <c r="BA46" s="1515" t="e">
        <f t="shared" si="16"/>
        <v>#DIV/0!</v>
      </c>
      <c r="BB46" s="1518"/>
      <c r="BC46" s="1515" t="e">
        <f t="shared" si="17"/>
        <v>#DIV/0!</v>
      </c>
      <c r="BD46" s="1388"/>
      <c r="BE46" s="1662"/>
      <c r="BF46" s="1662"/>
      <c r="BG46" s="1388">
        <f>SUM(BD46:BF46)</f>
        <v>0</v>
      </c>
      <c r="BH46" s="1388"/>
      <c r="BI46" s="1388"/>
      <c r="BJ46" s="1388"/>
      <c r="BK46" s="1388"/>
      <c r="BL46" s="1388"/>
      <c r="BM46" s="1388"/>
      <c r="BN46" s="1388"/>
      <c r="BO46" s="1662"/>
      <c r="BP46" s="1662"/>
      <c r="BQ46" s="1388">
        <f>SUM(BN46:BP46)</f>
        <v>0</v>
      </c>
      <c r="BR46" s="1388"/>
      <c r="BS46" s="1662"/>
      <c r="BT46" s="1662"/>
      <c r="BU46" s="1388">
        <f>SUM(BR46:BT46)</f>
        <v>0</v>
      </c>
      <c r="BV46" s="1388"/>
      <c r="BW46" s="1662"/>
      <c r="BX46" s="1662"/>
      <c r="BY46" s="1388">
        <f>SUM(BV46:BX46)</f>
        <v>0</v>
      </c>
      <c r="BZ46" s="1403">
        <f>+AQ46+BQ46+BU46+BY46</f>
        <v>0</v>
      </c>
      <c r="CA46" s="1482"/>
      <c r="CB46" s="1479" t="e">
        <f t="shared" si="18"/>
        <v>#DIV/0!</v>
      </c>
      <c r="CC46" s="1663"/>
      <c r="CD46" s="1737"/>
      <c r="CE46" s="528"/>
      <c r="CF46" s="528"/>
      <c r="CG46" s="529"/>
      <c r="CH46" s="64"/>
      <c r="CI46" s="64"/>
      <c r="CJ46" s="64"/>
      <c r="CL46" s="522"/>
      <c r="CX46" s="911">
        <f t="shared" si="0"/>
        <v>0</v>
      </c>
      <c r="CY46" s="1010"/>
      <c r="DA46" s="1102"/>
    </row>
    <row r="47" spans="1:105" s="1" customFormat="1" ht="96.6" customHeight="1" x14ac:dyDescent="0.2">
      <c r="A47" s="310"/>
      <c r="C47" s="303" t="s">
        <v>667</v>
      </c>
      <c r="D47" s="315" t="s">
        <v>672</v>
      </c>
      <c r="E47" s="303" t="s">
        <v>843</v>
      </c>
      <c r="F47" s="309">
        <v>15</v>
      </c>
      <c r="G47" s="309">
        <v>15</v>
      </c>
      <c r="H47" s="309">
        <v>15</v>
      </c>
      <c r="I47" s="309">
        <v>15</v>
      </c>
      <c r="J47" s="1169"/>
      <c r="K47" s="1170"/>
      <c r="L47" s="1171"/>
      <c r="M47" s="1171"/>
      <c r="N47" s="1171"/>
      <c r="O47" s="1171"/>
      <c r="P47" s="1171"/>
      <c r="Q47" s="1165"/>
      <c r="R47" s="1165"/>
      <c r="S47" s="1165"/>
      <c r="T47" s="1165"/>
      <c r="U47" s="1163"/>
      <c r="V47" s="1163"/>
      <c r="W47" s="1165"/>
      <c r="X47" s="1165"/>
      <c r="Y47" s="1170">
        <f>(((Y48+Y57+Y62+Y70+Y75)*AL47)/100)</f>
        <v>12.359661290322581</v>
      </c>
      <c r="Z47" s="1172"/>
      <c r="AA47" s="1165">
        <f>(((AA48+AA62+AA70+AA75)*AL47)/100)</f>
        <v>6.8721428571428582</v>
      </c>
      <c r="AB47" s="1165"/>
      <c r="AC47" s="1165"/>
      <c r="AD47" s="1165">
        <f>(((AD48+AD57+AD62+AD70+AD75)*AM47)/100)</f>
        <v>5.3153479071428569</v>
      </c>
      <c r="AE47" s="1165"/>
      <c r="AF47" s="1165">
        <f>(AF48+AF57+AF62+AF70+AF75)/5</f>
        <v>37.828433333333329</v>
      </c>
      <c r="AG47" s="1165"/>
      <c r="AH47" s="1165"/>
      <c r="AI47" s="1165"/>
      <c r="AJ47" s="1165">
        <f>+Y47</f>
        <v>12.359661290322581</v>
      </c>
      <c r="AK47" s="1165">
        <f>((AK48+AK57+AK62+AK70+AK75)/5)</f>
        <v>30.796067384532762</v>
      </c>
      <c r="AL47" s="1173">
        <f>+F47</f>
        <v>15</v>
      </c>
      <c r="AM47" s="1173">
        <v>15</v>
      </c>
      <c r="AN47" s="1163"/>
      <c r="AO47" s="314">
        <f>+AO48+AO57+AO62+AO70+AO75</f>
        <v>3681026671</v>
      </c>
      <c r="AP47" s="314">
        <f>+AP48+AP57+AP62+AP70+AP75</f>
        <v>0</v>
      </c>
      <c r="AQ47" s="314">
        <f>+AQ48+AQ57+AQ62+AQ70+AQ75</f>
        <v>3681026671</v>
      </c>
      <c r="AR47" s="413">
        <f>+AR48+AR57+AR62+AR70+AR75</f>
        <v>15219864760.17</v>
      </c>
      <c r="AS47" s="413"/>
      <c r="AT47" s="413">
        <f>+AT48+AT57+AT62+AT70+AT75</f>
        <v>15219864760.17</v>
      </c>
      <c r="AU47" s="704">
        <f>+AU48+AU57+AU62+AU70+AU75</f>
        <v>11750753594.65</v>
      </c>
      <c r="AV47" s="704">
        <f>+AV48+AV57+AV62+AV70+AV75</f>
        <v>863758795</v>
      </c>
      <c r="AW47" s="704">
        <f>+AW48+AW57+AW62+AW70+AW75</f>
        <v>12614512389.65</v>
      </c>
      <c r="AX47" s="717">
        <f>+AX48+AX57+AX62+AX70+AX75</f>
        <v>10919525832.4</v>
      </c>
      <c r="AY47" s="661">
        <f>+AX47/AW47*100</f>
        <v>86.563201930494685</v>
      </c>
      <c r="AZ47" s="662">
        <f>+AZ48+AZ57+AZ62+AZ70+AZ75</f>
        <v>4505182016.5</v>
      </c>
      <c r="BA47" s="661">
        <f>+AZ47/AW47*100</f>
        <v>35.714277947013059</v>
      </c>
      <c r="BB47" s="662">
        <f>+BB48+BB57+BB62+BB70+BB75</f>
        <v>4354425554.5</v>
      </c>
      <c r="BC47" s="661">
        <f>+BB47/AW47*100</f>
        <v>34.519174582386036</v>
      </c>
      <c r="BD47" s="944">
        <f>+BD48+BD57+BD62+BD70+BD75</f>
        <v>8575368977.8100004</v>
      </c>
      <c r="BE47" s="944">
        <f>+BE48+BE57+BE62+BE70+BE75</f>
        <v>0</v>
      </c>
      <c r="BF47" s="944">
        <f>+BF48+BF57+BF62+BF70+BF75</f>
        <v>3744959966.48</v>
      </c>
      <c r="BG47" s="944">
        <f>+BG48+BG57+BG62+BG70+BG75</f>
        <v>12320328944.290001</v>
      </c>
      <c r="BH47" s="944">
        <f>+BH48+BH57+BH62+BH70+BH75</f>
        <v>2522481376</v>
      </c>
      <c r="BI47" s="944">
        <f>+BH47/BG47*100</f>
        <v>20.474139833490998</v>
      </c>
      <c r="BJ47" s="944">
        <f>+BJ48+BJ57+BJ62+BJ70+BJ75</f>
        <v>440378732</v>
      </c>
      <c r="BK47" s="944">
        <f>+BJ47/BG47*100</f>
        <v>3.574407258047267</v>
      </c>
      <c r="BL47" s="944">
        <f>+BL48+BL57+BL62+BL70+BL75</f>
        <v>440378732</v>
      </c>
      <c r="BM47" s="944">
        <f>+BL47/BG47*100</f>
        <v>3.574407258047267</v>
      </c>
      <c r="BN47" s="944">
        <f t="shared" ref="BN47:BY47" si="19">+BN48+BN57+BN62+BN70+BN75</f>
        <v>3903724449</v>
      </c>
      <c r="BO47" s="944">
        <f t="shared" si="19"/>
        <v>750000000</v>
      </c>
      <c r="BP47" s="944">
        <f t="shared" si="19"/>
        <v>335023590</v>
      </c>
      <c r="BQ47" s="944">
        <f t="shared" si="19"/>
        <v>4988748039</v>
      </c>
      <c r="BR47" s="944">
        <f t="shared" si="19"/>
        <v>4004680949</v>
      </c>
      <c r="BS47" s="944">
        <f t="shared" si="19"/>
        <v>750000000</v>
      </c>
      <c r="BT47" s="944">
        <f t="shared" si="19"/>
        <v>0</v>
      </c>
      <c r="BU47" s="944">
        <f t="shared" si="19"/>
        <v>4754680949</v>
      </c>
      <c r="BV47" s="944">
        <f t="shared" si="19"/>
        <v>4220950961</v>
      </c>
      <c r="BW47" s="944">
        <f t="shared" si="19"/>
        <v>750000000</v>
      </c>
      <c r="BX47" s="944">
        <f t="shared" si="19"/>
        <v>0</v>
      </c>
      <c r="BY47" s="944">
        <f t="shared" si="19"/>
        <v>4970950961</v>
      </c>
      <c r="BZ47" s="965">
        <f>+BZ48+BZ57+BZ62+BZ70+BZ75</f>
        <v>34660473243.940002</v>
      </c>
      <c r="CA47" s="965">
        <f>+CA48+CA57+CA62+CA70+CA75</f>
        <v>13442007208.4</v>
      </c>
      <c r="CB47" s="946">
        <f>+CA47/BZ47*100</f>
        <v>38.781949437895179</v>
      </c>
      <c r="CC47" s="698"/>
      <c r="CD47" s="661"/>
      <c r="CE47" s="334" t="e">
        <f>+BZ47/#REF!*100</f>
        <v>#REF!</v>
      </c>
      <c r="CF47" s="198"/>
      <c r="CG47" s="238"/>
      <c r="CH47" s="7"/>
      <c r="CI47" s="269"/>
      <c r="CL47" s="658"/>
      <c r="CX47" s="911">
        <f t="shared" si="0"/>
        <v>4671644528.8100004</v>
      </c>
      <c r="CY47" s="1008"/>
      <c r="DA47" s="1066"/>
    </row>
    <row r="48" spans="1:105" s="830" customFormat="1" ht="90" customHeight="1" x14ac:dyDescent="0.2">
      <c r="A48" s="851"/>
      <c r="C48" s="817"/>
      <c r="D48" s="817"/>
      <c r="E48" s="816"/>
      <c r="F48" s="817"/>
      <c r="G48" s="817"/>
      <c r="H48" s="817"/>
      <c r="I48" s="817"/>
      <c r="J48" s="1231" t="s">
        <v>844</v>
      </c>
      <c r="K48" s="1232"/>
      <c r="L48" s="1233">
        <v>30</v>
      </c>
      <c r="M48" s="1233">
        <v>30</v>
      </c>
      <c r="N48" s="1233">
        <v>30</v>
      </c>
      <c r="O48" s="1233">
        <v>30</v>
      </c>
      <c r="P48" s="1232"/>
      <c r="Q48" s="1234"/>
      <c r="R48" s="1234"/>
      <c r="S48" s="1234"/>
      <c r="T48" s="1234"/>
      <c r="U48" s="1235"/>
      <c r="V48" s="1236"/>
      <c r="W48" s="1237"/>
      <c r="X48" s="1237"/>
      <c r="Y48" s="1238">
        <f>(((((Y50+Y51)/2)+Y52+((Y53+Y54)/2)+Y55+Y56)*AL48)/100)</f>
        <v>29.23</v>
      </c>
      <c r="Z48" s="1238"/>
      <c r="AA48" s="1238">
        <f>((((AA50+AA51+AA52+AA53+AA54+AA55+AA56)/7)*AL48)/100)</f>
        <v>16.114285714285714</v>
      </c>
      <c r="AB48" s="1238"/>
      <c r="AC48" s="1238"/>
      <c r="AD48" s="1238">
        <f>(((((AD50+AD51)/2)+AD52+AD53+AD55+AD56)*AM48)/100)</f>
        <v>9.0699527142857157</v>
      </c>
      <c r="AE48" s="1238"/>
      <c r="AF48" s="1238">
        <f>+(AF50+AF51+AF52+AF53+AF55+AF56)/6</f>
        <v>33.361666666666665</v>
      </c>
      <c r="AG48" s="1238"/>
      <c r="AH48" s="1238"/>
      <c r="AI48" s="1238"/>
      <c r="AJ48" s="1225"/>
      <c r="AK48" s="1238">
        <f>((AK50+AK51+AK52+AK53+AK54+AK55+AK56)/7)</f>
        <v>42.02637858933047</v>
      </c>
      <c r="AL48" s="1238">
        <f>+L48</f>
        <v>30</v>
      </c>
      <c r="AM48" s="1239">
        <v>30</v>
      </c>
      <c r="AN48" s="1240"/>
      <c r="AO48" s="852">
        <f>SUM(AO49:AO56)</f>
        <v>779012872</v>
      </c>
      <c r="AP48" s="852">
        <f>SUM(AP49:AP56)</f>
        <v>0</v>
      </c>
      <c r="AQ48" s="852">
        <f>SUM(AO48:AP48)</f>
        <v>779012872</v>
      </c>
      <c r="AR48" s="853">
        <f>SUM(AR49:AR56)</f>
        <v>11152323458</v>
      </c>
      <c r="AS48" s="853"/>
      <c r="AT48" s="853">
        <f>SUM(AT49:AT56)</f>
        <v>11152323458</v>
      </c>
      <c r="AU48" s="854">
        <f>SUM(AU49:AU56)</f>
        <v>9589455856.4799995</v>
      </c>
      <c r="AV48" s="854">
        <f>SUM(AV49:AV56)</f>
        <v>863758795</v>
      </c>
      <c r="AW48" s="854">
        <f>SUM(AU48:AV48)</f>
        <v>10453214651.48</v>
      </c>
      <c r="AX48" s="855">
        <f>SUM(AX49:AX56)</f>
        <v>8994006150</v>
      </c>
      <c r="AY48" s="856">
        <f>+AX48/AW48*100</f>
        <v>86.04057651037138</v>
      </c>
      <c r="AZ48" s="857">
        <f>SUM(AZ49:AZ56)</f>
        <v>3859106593.5</v>
      </c>
      <c r="BA48" s="856">
        <f>+AZ48/AW48*100</f>
        <v>36.91789293692171</v>
      </c>
      <c r="BB48" s="857">
        <f>SUM(BB49:BB56)</f>
        <v>3708350131.5</v>
      </c>
      <c r="BC48" s="856">
        <f>+BB48/AW48*100</f>
        <v>35.475691020799616</v>
      </c>
      <c r="BD48" s="972">
        <f>SUM(BD49:BD56)</f>
        <v>564917470</v>
      </c>
      <c r="BE48" s="972">
        <f>SUM(BE49:BE56)</f>
        <v>0</v>
      </c>
      <c r="BF48" s="972">
        <f>SUM(BF49:BF56)</f>
        <v>3407329514.48</v>
      </c>
      <c r="BG48" s="972">
        <f>SUM(BD48:BF48)</f>
        <v>3972246984.48</v>
      </c>
      <c r="BH48" s="972">
        <f>SUM(BH49:BH56)</f>
        <v>1493369368</v>
      </c>
      <c r="BI48" s="972">
        <f>+BH48/BG48*100</f>
        <v>37.595078398567765</v>
      </c>
      <c r="BJ48" s="972">
        <f>SUM(BJ49:BJ56)</f>
        <v>317806031</v>
      </c>
      <c r="BK48" s="972">
        <f>+BJ48/BG48*100</f>
        <v>8.0006613949661904</v>
      </c>
      <c r="BL48" s="972">
        <f>SUM(BL49:BL56)</f>
        <v>317806031</v>
      </c>
      <c r="BM48" s="972">
        <f>+BL48/BG48*100</f>
        <v>8.0006613949661904</v>
      </c>
      <c r="BN48" s="972">
        <f>SUM(BN49:BN56)</f>
        <v>696883258</v>
      </c>
      <c r="BO48" s="972">
        <f>SUM(BO49:BO56)</f>
        <v>750000000</v>
      </c>
      <c r="BP48" s="972">
        <f>SUM(BP49:BP56)</f>
        <v>335023590</v>
      </c>
      <c r="BQ48" s="972">
        <f>SUM(BN48:BP48)</f>
        <v>1781906848</v>
      </c>
      <c r="BR48" s="972">
        <f>SUM(BR49:BR56)</f>
        <v>702414756</v>
      </c>
      <c r="BS48" s="972">
        <f>SUM(BS49:BS56)</f>
        <v>750000000</v>
      </c>
      <c r="BT48" s="972">
        <f>SUM(BT49:BT56)</f>
        <v>0</v>
      </c>
      <c r="BU48" s="972">
        <f>SUM(BR48:BT48)</f>
        <v>1452414756</v>
      </c>
      <c r="BV48" s="972">
        <f>SUM(BV49:BV56)</f>
        <v>820612199</v>
      </c>
      <c r="BW48" s="972">
        <f>SUM(BW49:BW56)</f>
        <v>750000000</v>
      </c>
      <c r="BX48" s="972">
        <f>SUM(BX49:BX56)</f>
        <v>0</v>
      </c>
      <c r="BY48" s="972">
        <f>SUM(BV48:BX48)</f>
        <v>1570612199</v>
      </c>
      <c r="BZ48" s="973">
        <f>SUM(BZ49:BZ56)</f>
        <v>17448488590.959999</v>
      </c>
      <c r="CA48" s="973">
        <f>SUM(CA49:CA56)</f>
        <v>10487375518</v>
      </c>
      <c r="CB48" s="974">
        <f>+CA48/BZ48*100</f>
        <v>60.104779066270943</v>
      </c>
      <c r="CC48" s="858"/>
      <c r="CD48" s="856"/>
      <c r="CE48" s="828"/>
      <c r="CF48" s="834">
        <f>SUM(BZ49:BZ56)</f>
        <v>17448488590.959999</v>
      </c>
      <c r="CG48" s="829"/>
      <c r="CH48" s="815"/>
      <c r="CI48" s="815"/>
      <c r="CJ48" s="815"/>
      <c r="CL48" s="852"/>
      <c r="CX48" s="911">
        <f t="shared" si="0"/>
        <v>-131965788</v>
      </c>
      <c r="CY48" s="1009"/>
      <c r="DA48" s="1067"/>
    </row>
    <row r="49" spans="1:107" s="68" customFormat="1" ht="112.5" hidden="1" customHeight="1" x14ac:dyDescent="0.2">
      <c r="A49" s="18" t="s">
        <v>35</v>
      </c>
      <c r="C49" s="525"/>
      <c r="D49" s="525"/>
      <c r="E49" s="524"/>
      <c r="F49" s="525"/>
      <c r="G49" s="525"/>
      <c r="H49" s="525"/>
      <c r="I49" s="525"/>
      <c r="J49" s="64"/>
      <c r="K49" s="1449" t="s">
        <v>834</v>
      </c>
      <c r="L49" s="552"/>
      <c r="M49" s="552"/>
      <c r="N49" s="552"/>
      <c r="O49" s="552"/>
      <c r="P49" s="1449" t="s">
        <v>682</v>
      </c>
      <c r="Q49" s="1623">
        <v>30</v>
      </c>
      <c r="R49" s="1623">
        <v>30</v>
      </c>
      <c r="S49" s="1623">
        <v>30</v>
      </c>
      <c r="T49" s="1623">
        <v>30</v>
      </c>
      <c r="U49" s="16" t="s">
        <v>769</v>
      </c>
      <c r="V49" s="48" t="s">
        <v>147</v>
      </c>
      <c r="W49" s="804"/>
      <c r="X49" s="804"/>
      <c r="Y49" s="1089"/>
      <c r="Z49" s="881"/>
      <c r="AA49" s="880"/>
      <c r="AB49" s="223"/>
      <c r="AC49" s="214"/>
      <c r="AD49" s="901"/>
      <c r="AE49" s="1121"/>
      <c r="AF49" s="214"/>
      <c r="AG49" s="223"/>
      <c r="AH49" s="223"/>
      <c r="AI49" s="230"/>
      <c r="AJ49" s="899"/>
      <c r="AK49" s="424"/>
      <c r="AL49" s="890"/>
      <c r="AM49" s="1120"/>
      <c r="AN49" s="506" t="s">
        <v>766</v>
      </c>
      <c r="AO49" s="1665">
        <v>300000000</v>
      </c>
      <c r="AP49" s="1665"/>
      <c r="AQ49" s="1665">
        <f>SUM(AO49:AP49)</f>
        <v>300000000</v>
      </c>
      <c r="AR49" s="527"/>
      <c r="AS49" s="1668"/>
      <c r="AT49" s="1426">
        <f>+AR50+AS49</f>
        <v>10547101358</v>
      </c>
      <c r="AU49" s="1419">
        <f>8603913756.48+380320000</f>
        <v>8984233756.4799995</v>
      </c>
      <c r="AV49" s="1419">
        <v>613758795</v>
      </c>
      <c r="AW49" s="1419">
        <f>SUM(AU49:AV49)</f>
        <v>9597992551.4799995</v>
      </c>
      <c r="AX49" s="1429">
        <f>7262313133+343893270+543864568</f>
        <v>8150070971</v>
      </c>
      <c r="AY49" s="1407">
        <f>+AX49/AW49*100</f>
        <v>84.914328983754714</v>
      </c>
      <c r="AZ49" s="1516">
        <v>3521622657.5</v>
      </c>
      <c r="BA49" s="1407">
        <f>+AZ49/AW49*100</f>
        <v>36.691241825947969</v>
      </c>
      <c r="BB49" s="1516">
        <v>3370866195.5</v>
      </c>
      <c r="BC49" s="1407">
        <f>+BB49/AW49*100</f>
        <v>35.12053356386712</v>
      </c>
      <c r="BD49" s="1395">
        <f>314917470</f>
        <v>314917470</v>
      </c>
      <c r="BE49" s="1395"/>
      <c r="BF49" s="1399">
        <v>3137367298.48</v>
      </c>
      <c r="BG49" s="1395">
        <f>SUM(BD49:BF49)</f>
        <v>3452284768.48</v>
      </c>
      <c r="BH49" s="1395">
        <f>49963244+954671685</f>
        <v>1004634929</v>
      </c>
      <c r="BI49" s="1395">
        <f>+BH49/BG49*100</f>
        <v>29.100581104215479</v>
      </c>
      <c r="BJ49" s="1395">
        <f>4434000+309965298</f>
        <v>314399298</v>
      </c>
      <c r="BK49" s="1395">
        <f>+BJ49/BG49*100</f>
        <v>9.1069920091912433</v>
      </c>
      <c r="BL49" s="1395">
        <f>4434000+309965298</f>
        <v>314399298</v>
      </c>
      <c r="BM49" s="1395">
        <f>+BL49/BG49*100</f>
        <v>9.1069920091912433</v>
      </c>
      <c r="BN49" s="1395">
        <v>262500000</v>
      </c>
      <c r="BO49" s="1395">
        <v>375000000</v>
      </c>
      <c r="BP49" s="1647"/>
      <c r="BQ49" s="1395">
        <f>SUM(BN49:BP49)</f>
        <v>637500000</v>
      </c>
      <c r="BR49" s="1395">
        <v>262500000</v>
      </c>
      <c r="BS49" s="1395">
        <v>375000000</v>
      </c>
      <c r="BT49" s="1647"/>
      <c r="BU49" s="1395">
        <f>SUM(BR49:BT49)</f>
        <v>637500000</v>
      </c>
      <c r="BV49" s="1395">
        <v>300000000</v>
      </c>
      <c r="BW49" s="1395">
        <v>375000000</v>
      </c>
      <c r="BX49" s="1647"/>
      <c r="BY49" s="1395">
        <f>SUM(BV49:BX49)</f>
        <v>675000000</v>
      </c>
      <c r="BZ49" s="1648">
        <f>+AW49+BG49+BU49+BY49</f>
        <v>14362777319.959999</v>
      </c>
      <c r="CA49" s="1653">
        <f>+BH49+AX49</f>
        <v>9154705900</v>
      </c>
      <c r="CB49" s="1594">
        <f>+CA49/BZ49*100</f>
        <v>63.739106274924104</v>
      </c>
      <c r="CC49" s="1654" t="s">
        <v>1012</v>
      </c>
      <c r="CD49" s="1744" t="s">
        <v>1190</v>
      </c>
      <c r="CE49" s="572"/>
      <c r="CF49" s="528"/>
      <c r="CG49" s="529"/>
      <c r="CH49" s="64"/>
      <c r="CI49" s="64"/>
      <c r="CJ49" s="64"/>
      <c r="CL49" s="573">
        <v>80320000</v>
      </c>
      <c r="CX49" s="911">
        <f t="shared" si="0"/>
        <v>52417470</v>
      </c>
      <c r="CY49" s="1046"/>
      <c r="CZ49" s="1044"/>
      <c r="DA49" s="1069"/>
    </row>
    <row r="50" spans="1:107" s="68" customFormat="1" ht="112.5" x14ac:dyDescent="0.2">
      <c r="A50" s="18"/>
      <c r="C50" s="525"/>
      <c r="D50" s="525"/>
      <c r="E50" s="524"/>
      <c r="F50" s="525"/>
      <c r="G50" s="525"/>
      <c r="H50" s="525"/>
      <c r="I50" s="525"/>
      <c r="J50" s="64"/>
      <c r="K50" s="1450"/>
      <c r="L50" s="574"/>
      <c r="M50" s="574"/>
      <c r="N50" s="574"/>
      <c r="O50" s="574"/>
      <c r="P50" s="1450"/>
      <c r="Q50" s="1624"/>
      <c r="R50" s="1624"/>
      <c r="S50" s="1624"/>
      <c r="T50" s="1624"/>
      <c r="U50" s="16" t="s">
        <v>767</v>
      </c>
      <c r="V50" s="1155" t="s">
        <v>147</v>
      </c>
      <c r="W50" s="223">
        <v>100</v>
      </c>
      <c r="X50" s="223">
        <v>100</v>
      </c>
      <c r="Y50" s="1302">
        <f>(((X50/W50*100)*AL50)/100)</f>
        <v>30</v>
      </c>
      <c r="Z50" s="1121" t="s">
        <v>1041</v>
      </c>
      <c r="AA50" s="1302">
        <f>+X50</f>
        <v>100</v>
      </c>
      <c r="AB50" s="223">
        <v>100</v>
      </c>
      <c r="AC50" s="223">
        <v>100</v>
      </c>
      <c r="AD50" s="223">
        <v>15</v>
      </c>
      <c r="AE50" s="1121" t="s">
        <v>1264</v>
      </c>
      <c r="AF50" s="223">
        <v>50</v>
      </c>
      <c r="AG50" s="223">
        <v>100</v>
      </c>
      <c r="AH50" s="223">
        <v>100</v>
      </c>
      <c r="AI50" s="746">
        <v>100</v>
      </c>
      <c r="AJ50" s="1136">
        <f>25+12.5</f>
        <v>37.5</v>
      </c>
      <c r="AK50" s="424">
        <f t="shared" ref="AK50:AK56" si="20">+AJ50/AI50*100</f>
        <v>37.5</v>
      </c>
      <c r="AL50" s="1410">
        <v>30</v>
      </c>
      <c r="AM50" s="1411">
        <v>30</v>
      </c>
      <c r="AN50" s="575" t="s">
        <v>768</v>
      </c>
      <c r="AO50" s="1666"/>
      <c r="AP50" s="1666"/>
      <c r="AQ50" s="1666"/>
      <c r="AR50" s="576">
        <f>300000000+10247101358</f>
        <v>10547101358</v>
      </c>
      <c r="AS50" s="1669"/>
      <c r="AT50" s="1427"/>
      <c r="AU50" s="1420"/>
      <c r="AV50" s="1420"/>
      <c r="AW50" s="1420"/>
      <c r="AX50" s="1512"/>
      <c r="AY50" s="1424"/>
      <c r="AZ50" s="1517"/>
      <c r="BA50" s="1424"/>
      <c r="BB50" s="1517"/>
      <c r="BC50" s="1424"/>
      <c r="BD50" s="1395"/>
      <c r="BE50" s="1395"/>
      <c r="BF50" s="1399"/>
      <c r="BG50" s="1395"/>
      <c r="BH50" s="1395"/>
      <c r="BI50" s="1395"/>
      <c r="BJ50" s="1395"/>
      <c r="BK50" s="1395"/>
      <c r="BL50" s="1395"/>
      <c r="BM50" s="1395"/>
      <c r="BN50" s="1395"/>
      <c r="BO50" s="1395"/>
      <c r="BP50" s="1647"/>
      <c r="BQ50" s="1395"/>
      <c r="BR50" s="1395"/>
      <c r="BS50" s="1395"/>
      <c r="BT50" s="1647"/>
      <c r="BU50" s="1395"/>
      <c r="BV50" s="1395"/>
      <c r="BW50" s="1395"/>
      <c r="BX50" s="1647"/>
      <c r="BY50" s="1395"/>
      <c r="BZ50" s="1648"/>
      <c r="CA50" s="1653"/>
      <c r="CB50" s="1594"/>
      <c r="CC50" s="1654"/>
      <c r="CD50" s="1744"/>
      <c r="CE50" s="572"/>
      <c r="CF50" s="528"/>
      <c r="CG50" s="529"/>
      <c r="CH50" s="64"/>
      <c r="CI50" s="64"/>
      <c r="CJ50" s="64"/>
      <c r="CL50" s="531">
        <v>-1643187602</v>
      </c>
      <c r="CM50" s="577"/>
      <c r="CN50" s="577"/>
      <c r="CX50" s="911">
        <f t="shared" si="0"/>
        <v>0</v>
      </c>
      <c r="CY50" s="1021"/>
      <c r="CZ50" s="1004"/>
      <c r="DA50" s="1114"/>
      <c r="DB50" s="1070"/>
    </row>
    <row r="51" spans="1:107" s="68" customFormat="1" ht="78.75" x14ac:dyDescent="0.2">
      <c r="A51" s="18"/>
      <c r="C51" s="525"/>
      <c r="D51" s="525"/>
      <c r="E51" s="524"/>
      <c r="F51" s="525"/>
      <c r="G51" s="525"/>
      <c r="H51" s="525"/>
      <c r="I51" s="525"/>
      <c r="J51" s="520"/>
      <c r="K51" s="1450"/>
      <c r="L51" s="574"/>
      <c r="M51" s="574"/>
      <c r="N51" s="574"/>
      <c r="O51" s="574"/>
      <c r="P51" s="1451"/>
      <c r="Q51" s="1664"/>
      <c r="R51" s="1664"/>
      <c r="S51" s="1664"/>
      <c r="T51" s="1664"/>
      <c r="U51" s="16" t="s">
        <v>770</v>
      </c>
      <c r="V51" s="1155" t="s">
        <v>147</v>
      </c>
      <c r="W51" s="223">
        <v>100</v>
      </c>
      <c r="X51" s="223">
        <v>100</v>
      </c>
      <c r="Y51" s="1302">
        <f>(((X51/W51*100)*AL50)/100)</f>
        <v>30</v>
      </c>
      <c r="Z51" s="1121" t="s">
        <v>1042</v>
      </c>
      <c r="AA51" s="1302">
        <f>+X51</f>
        <v>100</v>
      </c>
      <c r="AB51" s="223">
        <v>100</v>
      </c>
      <c r="AC51" s="223">
        <v>62</v>
      </c>
      <c r="AD51" s="223">
        <f>(((AC51/AB51*100)*AM50)/100)</f>
        <v>18.600000000000001</v>
      </c>
      <c r="AE51" s="1121" t="s">
        <v>1265</v>
      </c>
      <c r="AF51" s="223">
        <v>65</v>
      </c>
      <c r="AG51" s="223">
        <v>100</v>
      </c>
      <c r="AH51" s="223">
        <v>100</v>
      </c>
      <c r="AI51" s="553">
        <v>100</v>
      </c>
      <c r="AJ51" s="1314">
        <f>+((X51+AC51)/400)*100</f>
        <v>40.5</v>
      </c>
      <c r="AK51" s="424">
        <f>+AJ51/AI51*100</f>
        <v>40.5</v>
      </c>
      <c r="AL51" s="1412"/>
      <c r="AM51" s="1412"/>
      <c r="AN51" s="578" t="s">
        <v>688</v>
      </c>
      <c r="AO51" s="1667"/>
      <c r="AP51" s="1667"/>
      <c r="AQ51" s="1667"/>
      <c r="AR51" s="579"/>
      <c r="AS51" s="1670"/>
      <c r="AT51" s="1428"/>
      <c r="AU51" s="1421"/>
      <c r="AV51" s="1421"/>
      <c r="AW51" s="1421"/>
      <c r="AX51" s="1430"/>
      <c r="AY51" s="1425"/>
      <c r="AZ51" s="1518"/>
      <c r="BA51" s="1425"/>
      <c r="BB51" s="1518"/>
      <c r="BC51" s="1425"/>
      <c r="BD51" s="1395"/>
      <c r="BE51" s="1395"/>
      <c r="BF51" s="1399"/>
      <c r="BG51" s="1395"/>
      <c r="BH51" s="1395"/>
      <c r="BI51" s="1395"/>
      <c r="BJ51" s="1395"/>
      <c r="BK51" s="1395"/>
      <c r="BL51" s="1395"/>
      <c r="BM51" s="1395"/>
      <c r="BN51" s="1395"/>
      <c r="BO51" s="1395"/>
      <c r="BP51" s="1647"/>
      <c r="BQ51" s="1395"/>
      <c r="BR51" s="1395"/>
      <c r="BS51" s="1395"/>
      <c r="BT51" s="1647"/>
      <c r="BU51" s="1395"/>
      <c r="BV51" s="1395"/>
      <c r="BW51" s="1395"/>
      <c r="BX51" s="1647"/>
      <c r="BY51" s="1395"/>
      <c r="BZ51" s="1648">
        <f>+AQ51+BQ51+BU51+BY51</f>
        <v>0</v>
      </c>
      <c r="CA51" s="1653"/>
      <c r="CB51" s="1594"/>
      <c r="CC51" s="1654"/>
      <c r="CD51" s="1744"/>
      <c r="CE51" s="572"/>
      <c r="CF51" s="528"/>
      <c r="CG51" s="529"/>
      <c r="CH51" s="64"/>
      <c r="CI51" s="64"/>
      <c r="CJ51" s="64"/>
      <c r="CL51" s="580">
        <v>613758795</v>
      </c>
      <c r="CX51" s="911">
        <f t="shared" si="0"/>
        <v>0</v>
      </c>
      <c r="CY51" s="1010"/>
      <c r="CZ51" s="586"/>
      <c r="DA51" s="1122">
        <f>373/600*100</f>
        <v>62.166666666666671</v>
      </c>
    </row>
    <row r="52" spans="1:107" s="68" customFormat="1" ht="115.5" customHeight="1" x14ac:dyDescent="0.2">
      <c r="A52" s="18" t="s">
        <v>36</v>
      </c>
      <c r="C52" s="525"/>
      <c r="D52" s="525"/>
      <c r="E52" s="524"/>
      <c r="F52" s="525"/>
      <c r="G52" s="525"/>
      <c r="H52" s="525"/>
      <c r="I52" s="525"/>
      <c r="J52" s="520"/>
      <c r="K52" s="1450"/>
      <c r="L52" s="574"/>
      <c r="M52" s="574"/>
      <c r="N52" s="574"/>
      <c r="O52" s="574"/>
      <c r="P52" s="16" t="s">
        <v>417</v>
      </c>
      <c r="Q52" s="548">
        <v>5</v>
      </c>
      <c r="R52" s="548">
        <v>5</v>
      </c>
      <c r="S52" s="548">
        <v>5</v>
      </c>
      <c r="T52" s="548">
        <v>5</v>
      </c>
      <c r="U52" s="16" t="s">
        <v>692</v>
      </c>
      <c r="V52" s="1155" t="s">
        <v>152</v>
      </c>
      <c r="W52" s="223">
        <v>300</v>
      </c>
      <c r="X52" s="223">
        <v>146</v>
      </c>
      <c r="Y52" s="1302">
        <f>(((X52/W52*100)*AL52)/100)</f>
        <v>2.4333333333333336</v>
      </c>
      <c r="Z52" s="1121" t="s">
        <v>1043</v>
      </c>
      <c r="AA52" s="1302">
        <v>0</v>
      </c>
      <c r="AB52" s="223">
        <v>350</v>
      </c>
      <c r="AC52" s="223">
        <v>50</v>
      </c>
      <c r="AD52" s="1136">
        <f>(((AC52/AB52*100)*AM52)/100)</f>
        <v>0.71428571428571419</v>
      </c>
      <c r="AE52" s="1121" t="s">
        <v>1266</v>
      </c>
      <c r="AF52" s="223">
        <v>14.29</v>
      </c>
      <c r="AG52" s="223">
        <v>400</v>
      </c>
      <c r="AH52" s="223">
        <v>450</v>
      </c>
      <c r="AI52" s="553">
        <f>+W52+AB52+AG52+AH52</f>
        <v>1500</v>
      </c>
      <c r="AJ52" s="223">
        <f t="shared" ref="AJ52:AJ56" si="21">+X52+AC52</f>
        <v>196</v>
      </c>
      <c r="AK52" s="424">
        <f t="shared" si="20"/>
        <v>13.066666666666665</v>
      </c>
      <c r="AL52" s="1310">
        <v>5</v>
      </c>
      <c r="AM52" s="1310">
        <f>+R52</f>
        <v>5</v>
      </c>
      <c r="AN52" s="554"/>
      <c r="AO52" s="183">
        <v>100000000</v>
      </c>
      <c r="AP52" s="183"/>
      <c r="AQ52" s="183">
        <f>SUM(AO52:AP52)</f>
        <v>100000000</v>
      </c>
      <c r="AR52" s="581">
        <v>100000000</v>
      </c>
      <c r="AS52" s="411"/>
      <c r="AT52" s="411">
        <f>+AR52+AS52</f>
        <v>100000000</v>
      </c>
      <c r="AU52" s="709">
        <v>100000000</v>
      </c>
      <c r="AV52" s="710"/>
      <c r="AW52" s="710">
        <f>SUM(AU52:AV52)</f>
        <v>100000000</v>
      </c>
      <c r="AX52" s="776">
        <v>100000000</v>
      </c>
      <c r="AY52" s="675">
        <f>+AX52/AW52*100</f>
        <v>100</v>
      </c>
      <c r="AZ52" s="672">
        <v>99601594</v>
      </c>
      <c r="BA52" s="675">
        <f>+AZ52/AW52*100</f>
        <v>99.601594000000006</v>
      </c>
      <c r="BB52" s="672">
        <v>99601594</v>
      </c>
      <c r="BC52" s="675">
        <f>+BB52/AW52*100</f>
        <v>99.601594000000006</v>
      </c>
      <c r="BD52" s="1031">
        <v>100000000</v>
      </c>
      <c r="BE52" s="1036"/>
      <c r="BF52" s="976"/>
      <c r="BG52" s="1031">
        <f>SUM(BD52:BF52)</f>
        <v>100000000</v>
      </c>
      <c r="BH52" s="1079">
        <v>99600000</v>
      </c>
      <c r="BI52" s="1031">
        <f>+BH52/BG52*100</f>
        <v>99.6</v>
      </c>
      <c r="BJ52" s="1032">
        <v>0</v>
      </c>
      <c r="BK52" s="1031">
        <f>+BJ52/BG52*100</f>
        <v>0</v>
      </c>
      <c r="BL52" s="1032">
        <v>0</v>
      </c>
      <c r="BM52" s="964">
        <f>+BL52/BG52*100</f>
        <v>0</v>
      </c>
      <c r="BN52" s="964">
        <v>100000000</v>
      </c>
      <c r="BO52" s="975"/>
      <c r="BP52" s="976"/>
      <c r="BQ52" s="964">
        <f>SUM(BN52:BP52)</f>
        <v>100000000</v>
      </c>
      <c r="BR52" s="964">
        <v>100000000</v>
      </c>
      <c r="BS52" s="975"/>
      <c r="BT52" s="976"/>
      <c r="BU52" s="964">
        <f>SUM(BR52:BT52)</f>
        <v>100000000</v>
      </c>
      <c r="BV52" s="964">
        <v>100000000</v>
      </c>
      <c r="BW52" s="975"/>
      <c r="BX52" s="964"/>
      <c r="BY52" s="964">
        <f>SUM(BV52:BX52)</f>
        <v>100000000</v>
      </c>
      <c r="BZ52" s="967">
        <f>+AW52+BG52+BU52+BY52</f>
        <v>400000000</v>
      </c>
      <c r="CA52" s="977">
        <f>+BH52+AX52</f>
        <v>199600000</v>
      </c>
      <c r="CB52" s="970">
        <f>+CA52/BZ52*100</f>
        <v>49.9</v>
      </c>
      <c r="CC52" s="908"/>
      <c r="CD52" s="1033"/>
      <c r="CE52" s="528"/>
      <c r="CF52" s="528"/>
      <c r="CG52" s="529"/>
      <c r="CH52" s="64"/>
      <c r="CI52" s="64"/>
      <c r="CJ52" s="64"/>
      <c r="CL52" s="183"/>
      <c r="CX52" s="911">
        <f t="shared" si="0"/>
        <v>0</v>
      </c>
      <c r="CY52" s="1010"/>
      <c r="DA52" s="1125" t="s">
        <v>1267</v>
      </c>
      <c r="DB52" s="1126">
        <f>50/350*100</f>
        <v>14.285714285714285</v>
      </c>
    </row>
    <row r="53" spans="1:107" s="68" customFormat="1" ht="112.5" x14ac:dyDescent="0.2">
      <c r="A53" s="18" t="s">
        <v>37</v>
      </c>
      <c r="C53" s="525"/>
      <c r="D53" s="525"/>
      <c r="E53" s="524"/>
      <c r="F53" s="525"/>
      <c r="G53" s="525"/>
      <c r="H53" s="525"/>
      <c r="I53" s="525"/>
      <c r="J53" s="520"/>
      <c r="K53" s="1450"/>
      <c r="L53" s="520"/>
      <c r="M53" s="520"/>
      <c r="N53" s="520"/>
      <c r="O53" s="520"/>
      <c r="P53" s="1449" t="s">
        <v>404</v>
      </c>
      <c r="Q53" s="1655">
        <v>25</v>
      </c>
      <c r="R53" s="1655">
        <v>25</v>
      </c>
      <c r="S53" s="1655">
        <v>25</v>
      </c>
      <c r="T53" s="1655">
        <v>25</v>
      </c>
      <c r="U53" s="16" t="s">
        <v>729</v>
      </c>
      <c r="V53" s="1155" t="s">
        <v>507</v>
      </c>
      <c r="W53" s="223">
        <v>41100</v>
      </c>
      <c r="X53" s="223">
        <v>4113.4250000000002</v>
      </c>
      <c r="Y53" s="1302">
        <f>+(((100)*AL53)/100)</f>
        <v>25</v>
      </c>
      <c r="Z53" s="1121" t="s">
        <v>1044</v>
      </c>
      <c r="AA53" s="1302">
        <f>+Y53</f>
        <v>25</v>
      </c>
      <c r="AB53" s="223">
        <v>3000</v>
      </c>
      <c r="AC53" s="1136">
        <v>1526.2668000000001</v>
      </c>
      <c r="AD53" s="1136">
        <f>(((AC53/AB53*100)*AM53)/100)</f>
        <v>12.718890000000002</v>
      </c>
      <c r="AE53" s="1121" t="s">
        <v>1351</v>
      </c>
      <c r="AF53" s="1136">
        <v>50.88</v>
      </c>
      <c r="AG53" s="223">
        <v>900</v>
      </c>
      <c r="AH53" s="223">
        <v>1000</v>
      </c>
      <c r="AI53" s="553">
        <f>13300</f>
        <v>13300</v>
      </c>
      <c r="AJ53" s="223">
        <f t="shared" si="21"/>
        <v>5639.6918000000005</v>
      </c>
      <c r="AK53" s="424">
        <f t="shared" si="20"/>
        <v>42.403697744360905</v>
      </c>
      <c r="AL53" s="1410">
        <v>25</v>
      </c>
      <c r="AM53" s="1410">
        <v>25</v>
      </c>
      <c r="AN53" s="1657"/>
      <c r="AO53" s="1422">
        <v>200000000</v>
      </c>
      <c r="AP53" s="1422"/>
      <c r="AQ53" s="1422">
        <f>SUM(AO53:AP53)</f>
        <v>200000000</v>
      </c>
      <c r="AR53" s="1426">
        <f>200000000</f>
        <v>200000000</v>
      </c>
      <c r="AS53" s="1426"/>
      <c r="AT53" s="1426">
        <f>+AS53+AR53</f>
        <v>200000000</v>
      </c>
      <c r="AU53" s="1419">
        <f>200000000</f>
        <v>200000000</v>
      </c>
      <c r="AV53" s="1419">
        <v>250000000</v>
      </c>
      <c r="AW53" s="1419">
        <f>SUM(AU53:AV53)</f>
        <v>450000000</v>
      </c>
      <c r="AX53" s="1413">
        <f>199340321+250000000</f>
        <v>449340321</v>
      </c>
      <c r="AY53" s="1587">
        <f>+AX53/AW53*100</f>
        <v>99.853404666666663</v>
      </c>
      <c r="AZ53" s="1404">
        <v>95960000</v>
      </c>
      <c r="BA53" s="1407">
        <f>+AZ53/AW53*100</f>
        <v>21.324444444444442</v>
      </c>
      <c r="BB53" s="1404">
        <v>95960000</v>
      </c>
      <c r="BC53" s="1407">
        <f>+BB53/AW53*100</f>
        <v>21.324444444444442</v>
      </c>
      <c r="BD53" s="1395">
        <v>150000000</v>
      </c>
      <c r="BE53" s="1395"/>
      <c r="BF53" s="1395"/>
      <c r="BG53" s="1395">
        <f>SUM(BD53:BF53)</f>
        <v>150000000</v>
      </c>
      <c r="BH53" s="1395">
        <v>149400000</v>
      </c>
      <c r="BI53" s="1395">
        <f>+BH53/BG53*100</f>
        <v>99.6</v>
      </c>
      <c r="BJ53" s="1395">
        <v>0</v>
      </c>
      <c r="BK53" s="1395">
        <f>+BJ53/BG53*100</f>
        <v>0</v>
      </c>
      <c r="BL53" s="1395">
        <v>0</v>
      </c>
      <c r="BM53" s="1388">
        <f>+BL53/BG53*100</f>
        <v>0</v>
      </c>
      <c r="BN53" s="1388">
        <v>150000000</v>
      </c>
      <c r="BO53" s="1388">
        <v>375000000</v>
      </c>
      <c r="BP53" s="1388">
        <v>335023590</v>
      </c>
      <c r="BQ53" s="1388">
        <f>SUM(BN53:BP53)</f>
        <v>860023590</v>
      </c>
      <c r="BR53" s="1388">
        <v>150000000</v>
      </c>
      <c r="BS53" s="1388">
        <v>375000000</v>
      </c>
      <c r="BT53" s="1659"/>
      <c r="BU53" s="1388">
        <f>SUM(BR53:BT53)</f>
        <v>525000000</v>
      </c>
      <c r="BV53" s="1388">
        <v>225000000</v>
      </c>
      <c r="BW53" s="1388">
        <v>375000000</v>
      </c>
      <c r="BX53" s="1659"/>
      <c r="BY53" s="1388">
        <f>SUM(BV53:BX53)</f>
        <v>600000000</v>
      </c>
      <c r="BZ53" s="1401">
        <f>+AW53+BG53+BU53+BY53</f>
        <v>1725000000</v>
      </c>
      <c r="CA53" s="1401">
        <f>+BH53+AX53</f>
        <v>598740321</v>
      </c>
      <c r="CB53" s="1434">
        <f>+CA53/BZ53*100</f>
        <v>34.709583826086956</v>
      </c>
      <c r="CC53" s="1608" t="s">
        <v>1015</v>
      </c>
      <c r="CD53" s="1407"/>
      <c r="CE53" s="528"/>
      <c r="CF53" s="528"/>
      <c r="CG53" s="529"/>
      <c r="CH53" s="64"/>
      <c r="CI53" s="64"/>
      <c r="CJ53" s="64"/>
      <c r="CL53" s="251"/>
      <c r="CX53" s="911">
        <f t="shared" si="0"/>
        <v>0</v>
      </c>
      <c r="CY53" s="1010"/>
      <c r="DA53" s="1123">
        <f>1526.2618/3000*100</f>
        <v>50.875393333333328</v>
      </c>
      <c r="DB53" s="1124" t="s">
        <v>1268</v>
      </c>
    </row>
    <row r="54" spans="1:107" s="68" customFormat="1" ht="94.15" hidden="1" customHeight="1" x14ac:dyDescent="0.2">
      <c r="A54" s="18"/>
      <c r="C54" s="525"/>
      <c r="D54" s="525"/>
      <c r="E54" s="524"/>
      <c r="F54" s="525"/>
      <c r="G54" s="525"/>
      <c r="H54" s="525"/>
      <c r="I54" s="525"/>
      <c r="J54" s="520"/>
      <c r="K54" s="1451"/>
      <c r="L54" s="520"/>
      <c r="M54" s="520"/>
      <c r="N54" s="520"/>
      <c r="O54" s="520"/>
      <c r="P54" s="1451"/>
      <c r="Q54" s="1656"/>
      <c r="R54" s="1656"/>
      <c r="S54" s="1656"/>
      <c r="T54" s="1656"/>
      <c r="U54" s="16" t="s">
        <v>775</v>
      </c>
      <c r="V54" s="1155" t="s">
        <v>419</v>
      </c>
      <c r="W54" s="223">
        <v>1</v>
      </c>
      <c r="X54" s="223">
        <v>1</v>
      </c>
      <c r="Y54" s="1302">
        <f>(((X54/W54*100)*AL53)/100)</f>
        <v>25</v>
      </c>
      <c r="Z54" s="1121" t="s">
        <v>1045</v>
      </c>
      <c r="AA54" s="1302">
        <f>+X54</f>
        <v>1</v>
      </c>
      <c r="AB54" s="223"/>
      <c r="AC54" s="223">
        <v>0</v>
      </c>
      <c r="AD54" s="223"/>
      <c r="AE54" s="1303" t="s">
        <v>1155</v>
      </c>
      <c r="AF54" s="223"/>
      <c r="AG54" s="223"/>
      <c r="AH54" s="223"/>
      <c r="AI54" s="425">
        <v>1</v>
      </c>
      <c r="AJ54" s="223">
        <f t="shared" si="21"/>
        <v>1</v>
      </c>
      <c r="AK54" s="424">
        <f t="shared" si="20"/>
        <v>100</v>
      </c>
      <c r="AL54" s="1412"/>
      <c r="AM54" s="1412"/>
      <c r="AN54" s="1658"/>
      <c r="AO54" s="1423"/>
      <c r="AP54" s="1423"/>
      <c r="AQ54" s="1423"/>
      <c r="AR54" s="1428"/>
      <c r="AS54" s="1428"/>
      <c r="AT54" s="1428"/>
      <c r="AU54" s="1421"/>
      <c r="AV54" s="1421"/>
      <c r="AW54" s="1421"/>
      <c r="AX54" s="1415"/>
      <c r="AY54" s="1587"/>
      <c r="AZ54" s="1406"/>
      <c r="BA54" s="1425"/>
      <c r="BB54" s="1406"/>
      <c r="BC54" s="1425"/>
      <c r="BD54" s="1395"/>
      <c r="BE54" s="1395"/>
      <c r="BF54" s="1395"/>
      <c r="BG54" s="1395"/>
      <c r="BH54" s="1395"/>
      <c r="BI54" s="1395"/>
      <c r="BJ54" s="1395"/>
      <c r="BK54" s="1395"/>
      <c r="BL54" s="1395"/>
      <c r="BM54" s="1390"/>
      <c r="BN54" s="1390"/>
      <c r="BO54" s="1390"/>
      <c r="BP54" s="1390"/>
      <c r="BQ54" s="1390"/>
      <c r="BR54" s="1390"/>
      <c r="BS54" s="1390"/>
      <c r="BT54" s="1660"/>
      <c r="BU54" s="1390"/>
      <c r="BV54" s="1390"/>
      <c r="BW54" s="1390"/>
      <c r="BX54" s="1660"/>
      <c r="BY54" s="1390"/>
      <c r="BZ54" s="1403"/>
      <c r="CA54" s="1403"/>
      <c r="CB54" s="1438"/>
      <c r="CC54" s="1610"/>
      <c r="CD54" s="1425"/>
      <c r="CE54" s="528"/>
      <c r="CF54" s="528"/>
      <c r="CG54" s="529"/>
      <c r="CH54" s="64"/>
      <c r="CI54" s="64"/>
      <c r="CJ54" s="64"/>
      <c r="CL54" s="252">
        <v>250000000</v>
      </c>
      <c r="CX54" s="911">
        <f t="shared" si="0"/>
        <v>0</v>
      </c>
      <c r="CY54" s="1010"/>
      <c r="DA54" s="1068"/>
    </row>
    <row r="55" spans="1:107" s="68" customFormat="1" ht="146.25" x14ac:dyDescent="0.2">
      <c r="A55" s="18" t="s">
        <v>38</v>
      </c>
      <c r="C55" s="525"/>
      <c r="D55" s="525"/>
      <c r="E55" s="524"/>
      <c r="F55" s="525"/>
      <c r="G55" s="525"/>
      <c r="H55" s="525"/>
      <c r="I55" s="525"/>
      <c r="J55" s="520"/>
      <c r="K55" s="18" t="s">
        <v>402</v>
      </c>
      <c r="L55" s="520"/>
      <c r="M55" s="520"/>
      <c r="N55" s="520"/>
      <c r="O55" s="520"/>
      <c r="P55" s="16" t="s">
        <v>415</v>
      </c>
      <c r="Q55" s="548">
        <v>20</v>
      </c>
      <c r="R55" s="548">
        <v>20</v>
      </c>
      <c r="S55" s="548">
        <v>20</v>
      </c>
      <c r="T55" s="548">
        <v>20</v>
      </c>
      <c r="U55" s="16" t="s">
        <v>770</v>
      </c>
      <c r="V55" s="1155" t="s">
        <v>147</v>
      </c>
      <c r="W55" s="223">
        <v>100</v>
      </c>
      <c r="X55" s="223">
        <v>100</v>
      </c>
      <c r="Y55" s="1302">
        <f>(((X55/W55*100)*AL55)/100)</f>
        <v>20</v>
      </c>
      <c r="Z55" s="1121" t="s">
        <v>1046</v>
      </c>
      <c r="AA55" s="1302">
        <f>+X55</f>
        <v>100</v>
      </c>
      <c r="AB55" s="223">
        <v>100</v>
      </c>
      <c r="AC55" s="223">
        <v>0</v>
      </c>
      <c r="AD55" s="223">
        <f>(((AC55/AB55*100)*AM55)/100)</f>
        <v>0</v>
      </c>
      <c r="AE55" s="1121" t="s">
        <v>1269</v>
      </c>
      <c r="AF55" s="223">
        <v>10</v>
      </c>
      <c r="AG55" s="223">
        <v>100</v>
      </c>
      <c r="AH55" s="223">
        <v>100</v>
      </c>
      <c r="AI55" s="746">
        <v>100</v>
      </c>
      <c r="AJ55" s="223">
        <f>+((X55+AC55)/400)*100</f>
        <v>25</v>
      </c>
      <c r="AK55" s="424">
        <f t="shared" si="20"/>
        <v>25</v>
      </c>
      <c r="AL55" s="1310">
        <v>20</v>
      </c>
      <c r="AM55" s="1315">
        <f>+R55</f>
        <v>20</v>
      </c>
      <c r="AN55" s="578" t="s">
        <v>690</v>
      </c>
      <c r="AO55" s="183">
        <v>89506436</v>
      </c>
      <c r="AP55" s="183"/>
      <c r="AQ55" s="183">
        <f>SUM(AO55:AP55)</f>
        <v>89506436</v>
      </c>
      <c r="AR55" s="581">
        <v>121413270</v>
      </c>
      <c r="AS55" s="411"/>
      <c r="AT55" s="411">
        <f>+AR55+AS55</f>
        <v>121413270</v>
      </c>
      <c r="AU55" s="720">
        <v>121413270</v>
      </c>
      <c r="AV55" s="710"/>
      <c r="AW55" s="710">
        <f>SUM(AU55:AV55)</f>
        <v>121413270</v>
      </c>
      <c r="AX55" s="776">
        <v>117933420</v>
      </c>
      <c r="AY55" s="676">
        <f>+AX55/AW55*100</f>
        <v>97.133880011632996</v>
      </c>
      <c r="AZ55" s="700">
        <v>117449702</v>
      </c>
      <c r="BA55" s="676">
        <f>+AZ55/AW55*100</f>
        <v>96.735473807764166</v>
      </c>
      <c r="BB55" s="700">
        <v>117449702</v>
      </c>
      <c r="BC55" s="676">
        <f>+BB55/AW55*100</f>
        <v>96.735473807764166</v>
      </c>
      <c r="BD55" s="1003"/>
      <c r="BE55" s="976"/>
      <c r="BF55" s="1031">
        <v>130747242</v>
      </c>
      <c r="BG55" s="1031">
        <f>SUM(BD55:BF55)</f>
        <v>130747242</v>
      </c>
      <c r="BH55" s="1079">
        <v>130179408</v>
      </c>
      <c r="BI55" s="1031">
        <f>+BH55/BG55*100</f>
        <v>99.565700972874055</v>
      </c>
      <c r="BJ55" s="1079">
        <v>2217000</v>
      </c>
      <c r="BK55" s="1031">
        <f>+BJ55/BG55*100</f>
        <v>1.6956380617191145</v>
      </c>
      <c r="BL55" s="1034">
        <v>2217000</v>
      </c>
      <c r="BM55" s="964">
        <f>+BL55/BG55*100</f>
        <v>1.6956380617191145</v>
      </c>
      <c r="BN55" s="964">
        <v>92191629</v>
      </c>
      <c r="BO55" s="976"/>
      <c r="BP55" s="975"/>
      <c r="BQ55" s="964">
        <f>SUM(BN55:BP55)</f>
        <v>92191629</v>
      </c>
      <c r="BR55" s="964">
        <v>94957378</v>
      </c>
      <c r="BS55" s="976"/>
      <c r="BT55" s="975"/>
      <c r="BU55" s="964">
        <f t="shared" ref="BU55:BU65" si="22">SUM(BR55:BT55)</f>
        <v>94957378</v>
      </c>
      <c r="BV55" s="964">
        <v>97806099.5</v>
      </c>
      <c r="BW55" s="976"/>
      <c r="BX55" s="975"/>
      <c r="BY55" s="964">
        <f t="shared" ref="BY55:BY65" si="23">SUM(BV55:BX55)</f>
        <v>97806099.5</v>
      </c>
      <c r="BZ55" s="967">
        <f>+AW55+BG55+BU55+BY55</f>
        <v>444923989.5</v>
      </c>
      <c r="CA55" s="977">
        <f>+BH55+AX55</f>
        <v>248112828</v>
      </c>
      <c r="CB55" s="966">
        <f>+CA55/BZ55*100</f>
        <v>55.765216948365961</v>
      </c>
      <c r="CC55" s="695" t="s">
        <v>891</v>
      </c>
      <c r="CD55" s="1071" t="s">
        <v>1184</v>
      </c>
      <c r="CE55" s="528"/>
      <c r="CF55" s="528"/>
      <c r="CG55" s="529"/>
      <c r="CH55" s="64"/>
      <c r="CI55" s="64"/>
      <c r="CJ55" s="64"/>
      <c r="CL55" s="183"/>
      <c r="CX55" s="911">
        <f>+BF55-BN55</f>
        <v>38555613</v>
      </c>
      <c r="CY55" s="1043"/>
      <c r="CZ55" s="1044"/>
      <c r="DA55" s="1112"/>
      <c r="DB55" s="1127"/>
    </row>
    <row r="56" spans="1:107" s="68" customFormat="1" ht="168.75" x14ac:dyDescent="0.2">
      <c r="A56" s="18" t="s">
        <v>39</v>
      </c>
      <c r="C56" s="525"/>
      <c r="D56" s="525"/>
      <c r="E56" s="524"/>
      <c r="F56" s="525"/>
      <c r="G56" s="525"/>
      <c r="H56" s="525"/>
      <c r="I56" s="525"/>
      <c r="J56" s="520"/>
      <c r="K56" s="18" t="s">
        <v>402</v>
      </c>
      <c r="L56" s="521"/>
      <c r="M56" s="521"/>
      <c r="N56" s="521"/>
      <c r="O56" s="521"/>
      <c r="P56" s="16" t="s">
        <v>416</v>
      </c>
      <c r="Q56" s="548">
        <v>20</v>
      </c>
      <c r="R56" s="548">
        <v>20</v>
      </c>
      <c r="S56" s="548">
        <v>20</v>
      </c>
      <c r="T56" s="548">
        <v>20</v>
      </c>
      <c r="U56" s="16" t="s">
        <v>691</v>
      </c>
      <c r="V56" s="1155" t="s">
        <v>507</v>
      </c>
      <c r="W56" s="223">
        <v>20</v>
      </c>
      <c r="X56" s="223">
        <v>50</v>
      </c>
      <c r="Y56" s="1302">
        <f>(((100)*AL56)/100)</f>
        <v>20</v>
      </c>
      <c r="Z56" s="1121" t="s">
        <v>1047</v>
      </c>
      <c r="AA56" s="1302">
        <f>+X56</f>
        <v>50</v>
      </c>
      <c r="AB56" s="223">
        <v>30</v>
      </c>
      <c r="AC56" s="223">
        <v>0</v>
      </c>
      <c r="AD56" s="223">
        <f>(((AC56/AB56*100)*AM56)/100)</f>
        <v>0</v>
      </c>
      <c r="AE56" s="1121" t="s">
        <v>1270</v>
      </c>
      <c r="AF56" s="223">
        <v>10</v>
      </c>
      <c r="AG56" s="223">
        <v>40</v>
      </c>
      <c r="AH56" s="223">
        <v>50</v>
      </c>
      <c r="AI56" s="553">
        <f>+W56+AB56+AG56+AH56</f>
        <v>140</v>
      </c>
      <c r="AJ56" s="223">
        <f t="shared" si="21"/>
        <v>50</v>
      </c>
      <c r="AK56" s="424">
        <f t="shared" si="20"/>
        <v>35.714285714285715</v>
      </c>
      <c r="AL56" s="1310">
        <v>20</v>
      </c>
      <c r="AM56" s="1310">
        <f>+R56</f>
        <v>20</v>
      </c>
      <c r="AN56" s="506"/>
      <c r="AO56" s="183">
        <v>89506436</v>
      </c>
      <c r="AP56" s="183"/>
      <c r="AQ56" s="183">
        <f>SUM(AO56:AP56)</f>
        <v>89506436</v>
      </c>
      <c r="AR56" s="582">
        <f>89506436+94302394</f>
        <v>183808830</v>
      </c>
      <c r="AS56" s="411"/>
      <c r="AT56" s="411">
        <f>+AR56+AS56</f>
        <v>183808830</v>
      </c>
      <c r="AU56" s="709">
        <f>89506436+94302394</f>
        <v>183808830</v>
      </c>
      <c r="AV56" s="710"/>
      <c r="AW56" s="710">
        <f>SUM(AU56:AV56)</f>
        <v>183808830</v>
      </c>
      <c r="AX56" s="777">
        <f>82359044+94302394</f>
        <v>176661438</v>
      </c>
      <c r="AY56" s="677">
        <f>+AX56/AW56*100</f>
        <v>96.111507809499685</v>
      </c>
      <c r="AZ56" s="677">
        <v>24472640</v>
      </c>
      <c r="BA56" s="677">
        <f>+AZ56/AW56*100</f>
        <v>13.314180825806899</v>
      </c>
      <c r="BB56" s="678">
        <v>24472640</v>
      </c>
      <c r="BC56" s="677">
        <f>+BB56/AW56*100</f>
        <v>13.314180825806899</v>
      </c>
      <c r="BD56" s="1003"/>
      <c r="BE56" s="976"/>
      <c r="BF56" s="1079">
        <v>139214974</v>
      </c>
      <c r="BG56" s="1031">
        <f>SUM(BD56:BF56)</f>
        <v>139214974</v>
      </c>
      <c r="BH56" s="1079">
        <v>109555031</v>
      </c>
      <c r="BI56" s="1031">
        <f>+BH56/BG56*100</f>
        <v>78.694861516836539</v>
      </c>
      <c r="BJ56" s="1079">
        <v>1189733</v>
      </c>
      <c r="BK56" s="1031">
        <f>+BJ56/BG56*100</f>
        <v>0.85460131609118428</v>
      </c>
      <c r="BL56" s="1079">
        <v>1189733</v>
      </c>
      <c r="BM56" s="978">
        <f>+BL56/BG56*100</f>
        <v>0.85460131609118428</v>
      </c>
      <c r="BN56" s="978">
        <v>92191629</v>
      </c>
      <c r="BO56" s="979"/>
      <c r="BP56" s="980"/>
      <c r="BQ56" s="978">
        <f>SUM(BN56:BP56)</f>
        <v>92191629</v>
      </c>
      <c r="BR56" s="978">
        <v>94957378</v>
      </c>
      <c r="BS56" s="979"/>
      <c r="BT56" s="980"/>
      <c r="BU56" s="978">
        <f t="shared" si="22"/>
        <v>94957378</v>
      </c>
      <c r="BV56" s="978">
        <v>97806099.5</v>
      </c>
      <c r="BW56" s="979"/>
      <c r="BX56" s="980"/>
      <c r="BY56" s="978">
        <f t="shared" si="23"/>
        <v>97806099.5</v>
      </c>
      <c r="BZ56" s="981">
        <f>+AW56+BG56+BU56+BY56</f>
        <v>515787281.5</v>
      </c>
      <c r="CA56" s="977">
        <f>+BH56+AX56</f>
        <v>286216469</v>
      </c>
      <c r="CB56" s="970">
        <f>+CA56/BZ56*100</f>
        <v>55.491183917453768</v>
      </c>
      <c r="CC56" s="910"/>
      <c r="CD56" s="1038" t="s">
        <v>1185</v>
      </c>
      <c r="CE56" s="528"/>
      <c r="CF56" s="528"/>
      <c r="CG56" s="529"/>
      <c r="CH56" s="64"/>
      <c r="CI56" s="64"/>
      <c r="CJ56" s="64"/>
      <c r="CL56" s="528"/>
      <c r="CX56" s="911">
        <f>+BF56-BN56</f>
        <v>47023345</v>
      </c>
      <c r="CY56" s="1060"/>
      <c r="CZ56" s="1061"/>
      <c r="DA56" s="1128"/>
      <c r="DB56" s="1129"/>
      <c r="DC56" s="1062"/>
    </row>
    <row r="57" spans="1:107" s="830" customFormat="1" ht="78.75" customHeight="1" x14ac:dyDescent="0.2">
      <c r="A57" s="814" t="s">
        <v>427</v>
      </c>
      <c r="C57" s="859"/>
      <c r="D57" s="859"/>
      <c r="E57" s="860"/>
      <c r="F57" s="859"/>
      <c r="G57" s="859"/>
      <c r="H57" s="859"/>
      <c r="I57" s="859"/>
      <c r="J57" s="1241" t="s">
        <v>845</v>
      </c>
      <c r="K57" s="1242"/>
      <c r="L57" s="1243">
        <v>10</v>
      </c>
      <c r="M57" s="1243">
        <v>10</v>
      </c>
      <c r="N57" s="1243">
        <v>10</v>
      </c>
      <c r="O57" s="1243">
        <v>10</v>
      </c>
      <c r="P57" s="1244"/>
      <c r="Q57" s="1244"/>
      <c r="R57" s="1244"/>
      <c r="S57" s="1244"/>
      <c r="T57" s="1244"/>
      <c r="U57" s="1244"/>
      <c r="V57" s="1245"/>
      <c r="W57" s="1246"/>
      <c r="X57" s="1246"/>
      <c r="Y57" s="1247">
        <f>(((Y58)*AL57)/100)</f>
        <v>10</v>
      </c>
      <c r="Z57" s="1248"/>
      <c r="AA57" s="1249">
        <f>((((AA58)/1)*AL57)/100)</f>
        <v>0</v>
      </c>
      <c r="AB57" s="1250"/>
      <c r="AC57" s="1250"/>
      <c r="AD57" s="1247">
        <f>(((AD58+AD60+AD61/3)*AM57)/100)</f>
        <v>0</v>
      </c>
      <c r="AE57" s="1250"/>
      <c r="AF57" s="1247">
        <f>(AF58+AF60+AF61)/3</f>
        <v>20</v>
      </c>
      <c r="AG57" s="1250"/>
      <c r="AH57" s="1250"/>
      <c r="AI57" s="1251"/>
      <c r="AJ57" s="1252"/>
      <c r="AK57" s="1249">
        <f>((AK58)/1)</f>
        <v>25</v>
      </c>
      <c r="AL57" s="1252">
        <f>+L57</f>
        <v>10</v>
      </c>
      <c r="AM57" s="1252">
        <v>10</v>
      </c>
      <c r="AN57" s="1253"/>
      <c r="AO57" s="861">
        <f>+AO58</f>
        <v>2117275425</v>
      </c>
      <c r="AP57" s="861">
        <f>+AP58</f>
        <v>0</v>
      </c>
      <c r="AQ57" s="861">
        <f>SUM(AO57:AP57)</f>
        <v>2117275425</v>
      </c>
      <c r="AR57" s="862">
        <f>+AR58</f>
        <v>2891707152</v>
      </c>
      <c r="AS57" s="862"/>
      <c r="AT57" s="862">
        <f>+AT58</f>
        <v>2891707152</v>
      </c>
      <c r="AU57" s="863">
        <f>+AU58</f>
        <v>997504477</v>
      </c>
      <c r="AV57" s="863">
        <f>+AV58</f>
        <v>0</v>
      </c>
      <c r="AW57" s="863">
        <f>SUM(AU57:AV57)</f>
        <v>997504477</v>
      </c>
      <c r="AX57" s="864">
        <f>+AX58</f>
        <v>997233227.39999998</v>
      </c>
      <c r="AY57" s="865">
        <f>+AX57/AW57*100</f>
        <v>99.972807179691486</v>
      </c>
      <c r="AZ57" s="866">
        <f>+AZ58</f>
        <v>0</v>
      </c>
      <c r="BA57" s="865">
        <f>+AZ57/AW57*100</f>
        <v>0</v>
      </c>
      <c r="BB57" s="866">
        <f>+BB58</f>
        <v>0</v>
      </c>
      <c r="BC57" s="865">
        <f>+BB57/AW57*100</f>
        <v>0</v>
      </c>
      <c r="BD57" s="982">
        <f>+BD58</f>
        <v>6688184298.2700005</v>
      </c>
      <c r="BE57" s="982">
        <f>+BE58+BE60</f>
        <v>0</v>
      </c>
      <c r="BF57" s="982">
        <f>+BF58+BF60</f>
        <v>337630452</v>
      </c>
      <c r="BG57" s="982">
        <f>+BG58+BG60</f>
        <v>7025814750.2700005</v>
      </c>
      <c r="BH57" s="982">
        <f>+BH58</f>
        <v>0</v>
      </c>
      <c r="BI57" s="982">
        <f>+BH57/BG57*100</f>
        <v>0</v>
      </c>
      <c r="BJ57" s="982">
        <f>+BJ58</f>
        <v>0</v>
      </c>
      <c r="BK57" s="982">
        <f>+BJ57/BG57*100</f>
        <v>0</v>
      </c>
      <c r="BL57" s="982">
        <f>+BL58</f>
        <v>0</v>
      </c>
      <c r="BM57" s="982">
        <f>+BL57/BG57*100</f>
        <v>0</v>
      </c>
      <c r="BN57" s="982">
        <f>+BN58</f>
        <v>2368413879</v>
      </c>
      <c r="BO57" s="982">
        <f>+BO58</f>
        <v>0</v>
      </c>
      <c r="BP57" s="982">
        <f>+BP58</f>
        <v>0</v>
      </c>
      <c r="BQ57" s="982">
        <f>SUM(BN57:BP57)</f>
        <v>2368413879</v>
      </c>
      <c r="BR57" s="982">
        <f>+BR58</f>
        <v>2431167309</v>
      </c>
      <c r="BS57" s="982">
        <f>+BS58</f>
        <v>0</v>
      </c>
      <c r="BT57" s="982">
        <f>+BT58</f>
        <v>0</v>
      </c>
      <c r="BU57" s="982">
        <f t="shared" si="22"/>
        <v>2431167309</v>
      </c>
      <c r="BV57" s="982">
        <f>+BV58</f>
        <v>2492671222</v>
      </c>
      <c r="BW57" s="982">
        <f>+BW58</f>
        <v>0</v>
      </c>
      <c r="BX57" s="982">
        <f>+BX58</f>
        <v>0</v>
      </c>
      <c r="BY57" s="982">
        <f t="shared" si="23"/>
        <v>2492671222</v>
      </c>
      <c r="BZ57" s="983">
        <f>+BZ58+BZ60</f>
        <v>12947157758.27</v>
      </c>
      <c r="CA57" s="983">
        <f>+CA58+CA60</f>
        <v>997233227.39999998</v>
      </c>
      <c r="CB57" s="984">
        <f>+CA57/BZ57*100</f>
        <v>7.7023331762758271</v>
      </c>
      <c r="CC57" s="827"/>
      <c r="CD57" s="865"/>
      <c r="CE57" s="828"/>
      <c r="CF57" s="834">
        <f>+BZ58</f>
        <v>12609527306.27</v>
      </c>
      <c r="CG57" s="845">
        <v>774431727</v>
      </c>
      <c r="CH57" s="867"/>
      <c r="CI57" s="867"/>
      <c r="CJ57" s="867"/>
      <c r="CK57" s="867"/>
      <c r="CL57" s="861"/>
      <c r="CX57" s="911">
        <f t="shared" si="0"/>
        <v>4319770419.2700005</v>
      </c>
      <c r="CY57" s="1009"/>
      <c r="DA57" s="1067"/>
    </row>
    <row r="58" spans="1:107" s="68" customFormat="1" ht="51" customHeight="1" x14ac:dyDescent="0.2">
      <c r="A58" s="16" t="s">
        <v>44</v>
      </c>
      <c r="C58" s="531"/>
      <c r="D58" s="531"/>
      <c r="E58" s="583"/>
      <c r="F58" s="531"/>
      <c r="G58" s="531"/>
      <c r="H58" s="531"/>
      <c r="I58" s="531"/>
      <c r="J58" s="1627"/>
      <c r="K58" s="1629" t="s">
        <v>421</v>
      </c>
      <c r="L58" s="584"/>
      <c r="M58" s="584"/>
      <c r="N58" s="584"/>
      <c r="O58" s="584"/>
      <c r="P58" s="1526" t="s">
        <v>1145</v>
      </c>
      <c r="Q58" s="1631">
        <v>100</v>
      </c>
      <c r="R58" s="1631">
        <v>75</v>
      </c>
      <c r="S58" s="1631">
        <v>100</v>
      </c>
      <c r="T58" s="1631">
        <v>100</v>
      </c>
      <c r="U58" s="1633" t="s">
        <v>810</v>
      </c>
      <c r="V58" s="1635" t="s">
        <v>147</v>
      </c>
      <c r="W58" s="1637">
        <v>100</v>
      </c>
      <c r="X58" s="1637">
        <v>100</v>
      </c>
      <c r="Y58" s="1639">
        <f>(((X58/W58*100)*AL58)/100)</f>
        <v>100</v>
      </c>
      <c r="Z58" s="1491" t="s">
        <v>1115</v>
      </c>
      <c r="AA58" s="1639"/>
      <c r="AB58" s="1637">
        <v>100</v>
      </c>
      <c r="AC58" s="1727">
        <v>0</v>
      </c>
      <c r="AD58" s="1727">
        <f>(((AC58/AB58*100)*AM58)/100)</f>
        <v>0</v>
      </c>
      <c r="AE58" s="1491" t="s">
        <v>1241</v>
      </c>
      <c r="AF58" s="1637">
        <v>10</v>
      </c>
      <c r="AG58" s="1637">
        <v>100</v>
      </c>
      <c r="AH58" s="1637">
        <v>100</v>
      </c>
      <c r="AI58" s="1637">
        <v>100</v>
      </c>
      <c r="AJ58" s="1639">
        <f>0.25*100</f>
        <v>25</v>
      </c>
      <c r="AK58" s="1729">
        <v>25</v>
      </c>
      <c r="AL58" s="1725">
        <v>100</v>
      </c>
      <c r="AM58" s="1725">
        <f>+R58</f>
        <v>75</v>
      </c>
      <c r="AN58" s="1641"/>
      <c r="AO58" s="1643">
        <v>2117275425</v>
      </c>
      <c r="AP58" s="1643"/>
      <c r="AQ58" s="1643">
        <f>SUM(AO58:AP58)</f>
        <v>2117275425</v>
      </c>
      <c r="AR58" s="1645">
        <f>2889815824+1891328</f>
        <v>2891707152</v>
      </c>
      <c r="AS58" s="1649"/>
      <c r="AT58" s="1645">
        <f>+AR58+AS58</f>
        <v>2891707152</v>
      </c>
      <c r="AU58" s="1651">
        <v>997504477</v>
      </c>
      <c r="AV58" s="1651"/>
      <c r="AW58" s="1651">
        <f>SUM(AU58:AV58)</f>
        <v>997504477</v>
      </c>
      <c r="AX58" s="1429">
        <v>997233227.39999998</v>
      </c>
      <c r="AY58" s="1513">
        <f>+AX58/AW58*100</f>
        <v>99.972807179691486</v>
      </c>
      <c r="AZ58" s="1516"/>
      <c r="BA58" s="1513">
        <f>+AZ58/AW58*100</f>
        <v>0</v>
      </c>
      <c r="BB58" s="1516"/>
      <c r="BC58" s="1513">
        <f>+BB58/AW58*100</f>
        <v>0</v>
      </c>
      <c r="BD58" s="1388">
        <v>6688184298.2700005</v>
      </c>
      <c r="BE58" s="1388"/>
      <c r="BF58" s="1388"/>
      <c r="BG58" s="1388">
        <f>SUM(BD58:BF58)</f>
        <v>6688184298.2700005</v>
      </c>
      <c r="BH58" s="1388">
        <v>0</v>
      </c>
      <c r="BI58" s="1388">
        <f>+BH58/BG58*100</f>
        <v>0</v>
      </c>
      <c r="BJ58" s="1388">
        <v>0</v>
      </c>
      <c r="BK58" s="1388">
        <f>+BJ58/BG58*100</f>
        <v>0</v>
      </c>
      <c r="BL58" s="1388">
        <v>0</v>
      </c>
      <c r="BM58" s="1388">
        <f>+BL58/BG58*100</f>
        <v>0</v>
      </c>
      <c r="BN58" s="1388">
        <v>2368413879</v>
      </c>
      <c r="BO58" s="1388"/>
      <c r="BP58" s="1388"/>
      <c r="BQ58" s="1388">
        <f>SUM(BN58:BP58)</f>
        <v>2368413879</v>
      </c>
      <c r="BR58" s="1388">
        <v>2431167309</v>
      </c>
      <c r="BS58" s="1388"/>
      <c r="BT58" s="1388"/>
      <c r="BU58" s="1388">
        <f t="shared" si="22"/>
        <v>2431167309</v>
      </c>
      <c r="BV58" s="1388">
        <v>2492671222</v>
      </c>
      <c r="BW58" s="1388"/>
      <c r="BX58" s="1388"/>
      <c r="BY58" s="1388">
        <f t="shared" si="23"/>
        <v>2492671222</v>
      </c>
      <c r="BZ58" s="1432">
        <f>+AW58+BG58+BU58+BY58</f>
        <v>12609527306.27</v>
      </c>
      <c r="CA58" s="1480">
        <f>+BH58+AX58</f>
        <v>997233227.39999998</v>
      </c>
      <c r="CB58" s="1477">
        <f>+CA58/BZ58*100</f>
        <v>7.9085694743222659</v>
      </c>
      <c r="CC58" s="1608" t="s">
        <v>1013</v>
      </c>
      <c r="CD58" s="1735" t="s">
        <v>1166</v>
      </c>
      <c r="CE58" s="528"/>
      <c r="CF58" s="533"/>
      <c r="CG58" s="529"/>
      <c r="CH58" s="106"/>
      <c r="CI58" s="106"/>
      <c r="CJ58" s="106"/>
      <c r="CK58" s="106"/>
      <c r="CL58" s="585">
        <v>-1892311347</v>
      </c>
      <c r="CM58" s="534">
        <v>1056484859</v>
      </c>
      <c r="CN58" s="586">
        <v>335739124</v>
      </c>
      <c r="CO58" s="586">
        <v>86896889</v>
      </c>
      <c r="CP58" s="586">
        <v>-3035693095</v>
      </c>
      <c r="CQ58" s="68">
        <v>-337630452</v>
      </c>
      <c r="CR58" s="534">
        <f>+SUM(CM58:CQ58)</f>
        <v>-1894202675</v>
      </c>
      <c r="CX58" s="911">
        <f t="shared" si="0"/>
        <v>4319770419.2700005</v>
      </c>
      <c r="CY58" s="1045"/>
      <c r="CZ58" s="1044"/>
      <c r="DA58" s="1753"/>
    </row>
    <row r="59" spans="1:107" s="68" customFormat="1" ht="124.5" customHeight="1" x14ac:dyDescent="0.2">
      <c r="A59" s="16" t="s">
        <v>45</v>
      </c>
      <c r="C59" s="531"/>
      <c r="D59" s="531"/>
      <c r="E59" s="583"/>
      <c r="F59" s="531"/>
      <c r="G59" s="531"/>
      <c r="H59" s="531"/>
      <c r="I59" s="531"/>
      <c r="J59" s="1628"/>
      <c r="K59" s="1630"/>
      <c r="L59" s="587"/>
      <c r="M59" s="587"/>
      <c r="N59" s="587"/>
      <c r="O59" s="587"/>
      <c r="P59" s="1528"/>
      <c r="Q59" s="1632"/>
      <c r="R59" s="1632"/>
      <c r="S59" s="1632"/>
      <c r="T59" s="1632"/>
      <c r="U59" s="1634"/>
      <c r="V59" s="1636"/>
      <c r="W59" s="1638"/>
      <c r="X59" s="1638"/>
      <c r="Y59" s="1640"/>
      <c r="Z59" s="1493"/>
      <c r="AA59" s="1640"/>
      <c r="AB59" s="1638">
        <v>1</v>
      </c>
      <c r="AC59" s="1728"/>
      <c r="AD59" s="1728">
        <f>(((AC59/AB59*100)*AM59)/100)</f>
        <v>0</v>
      </c>
      <c r="AE59" s="1493"/>
      <c r="AF59" s="1638"/>
      <c r="AG59" s="1638">
        <v>1</v>
      </c>
      <c r="AH59" s="1638">
        <v>1</v>
      </c>
      <c r="AI59" s="1638">
        <f>SUM(W59:AH59)</f>
        <v>3</v>
      </c>
      <c r="AJ59" s="1640"/>
      <c r="AK59" s="1730"/>
      <c r="AL59" s="1726"/>
      <c r="AM59" s="1726"/>
      <c r="AN59" s="1642"/>
      <c r="AO59" s="1644"/>
      <c r="AP59" s="1644"/>
      <c r="AQ59" s="1644"/>
      <c r="AR59" s="1646"/>
      <c r="AS59" s="1650"/>
      <c r="AT59" s="1646"/>
      <c r="AU59" s="1652"/>
      <c r="AV59" s="1652"/>
      <c r="AW59" s="1652"/>
      <c r="AX59" s="1430">
        <v>0</v>
      </c>
      <c r="AY59" s="1515" t="e">
        <f>+AX59/AR59*100</f>
        <v>#DIV/0!</v>
      </c>
      <c r="AZ59" s="1518">
        <v>0</v>
      </c>
      <c r="BA59" s="1515" t="e">
        <f>+AZ59/AT59*100</f>
        <v>#DIV/0!</v>
      </c>
      <c r="BB59" s="1518">
        <v>0</v>
      </c>
      <c r="BC59" s="1515" t="e">
        <f>+BB59/AY59*100</f>
        <v>#DIV/0!</v>
      </c>
      <c r="BD59" s="1390"/>
      <c r="BE59" s="1390"/>
      <c r="BF59" s="1390"/>
      <c r="BG59" s="1390"/>
      <c r="BH59" s="1390"/>
      <c r="BI59" s="1390"/>
      <c r="BJ59" s="1390"/>
      <c r="BK59" s="1390"/>
      <c r="BL59" s="1390"/>
      <c r="BM59" s="1390"/>
      <c r="BN59" s="1390"/>
      <c r="BO59" s="1390"/>
      <c r="BP59" s="1390"/>
      <c r="BQ59" s="1390"/>
      <c r="BR59" s="1390"/>
      <c r="BS59" s="1390"/>
      <c r="BT59" s="1390"/>
      <c r="BU59" s="1390">
        <f t="shared" si="22"/>
        <v>0</v>
      </c>
      <c r="BV59" s="1390"/>
      <c r="BW59" s="1390"/>
      <c r="BX59" s="1390"/>
      <c r="BY59" s="1390">
        <f t="shared" si="23"/>
        <v>0</v>
      </c>
      <c r="BZ59" s="1440"/>
      <c r="CA59" s="1482"/>
      <c r="CB59" s="1479" t="e">
        <f>+CA59/BX59*100</f>
        <v>#DIV/0!</v>
      </c>
      <c r="CC59" s="1610"/>
      <c r="CD59" s="1737"/>
      <c r="CE59" s="528"/>
      <c r="CF59" s="533"/>
      <c r="CG59" s="529"/>
      <c r="CH59" s="106"/>
      <c r="CI59" s="106"/>
      <c r="CJ59" s="106"/>
      <c r="CK59" s="106"/>
      <c r="CL59" s="588">
        <v>-1891328</v>
      </c>
      <c r="CM59" s="589">
        <f>+CL58+CL59</f>
        <v>-1894202675</v>
      </c>
      <c r="CP59" s="590">
        <f>3035693095+337630452</f>
        <v>3373323547</v>
      </c>
      <c r="CX59" s="911">
        <f t="shared" si="0"/>
        <v>0</v>
      </c>
      <c r="CY59" s="1010"/>
      <c r="DA59" s="1753"/>
    </row>
    <row r="60" spans="1:107" s="68" customFormat="1" ht="124.5" customHeight="1" x14ac:dyDescent="0.2">
      <c r="A60" s="16"/>
      <c r="C60" s="792"/>
      <c r="D60" s="792"/>
      <c r="E60" s="583"/>
      <c r="F60" s="792"/>
      <c r="G60" s="792"/>
      <c r="H60" s="792"/>
      <c r="I60" s="792"/>
      <c r="J60" s="793"/>
      <c r="K60" s="794"/>
      <c r="L60" s="795"/>
      <c r="M60" s="795"/>
      <c r="N60" s="795"/>
      <c r="O60" s="795"/>
      <c r="P60" s="1627" t="s">
        <v>47</v>
      </c>
      <c r="Q60" s="796"/>
      <c r="R60" s="1723">
        <v>25</v>
      </c>
      <c r="S60" s="796"/>
      <c r="T60" s="796"/>
      <c r="U60" s="1321" t="s">
        <v>1146</v>
      </c>
      <c r="V60" s="1322" t="s">
        <v>1147</v>
      </c>
      <c r="W60" s="1140"/>
      <c r="X60" s="1140"/>
      <c r="Y60" s="1323"/>
      <c r="Z60" s="1153"/>
      <c r="AA60" s="1323"/>
      <c r="AB60" s="1140">
        <v>40</v>
      </c>
      <c r="AC60" s="1140">
        <v>0</v>
      </c>
      <c r="AD60" s="223">
        <f>(((AC60/AB60*100)*AM60)/100)</f>
        <v>0</v>
      </c>
      <c r="AE60" s="1149" t="s">
        <v>1242</v>
      </c>
      <c r="AF60" s="1140">
        <v>50</v>
      </c>
      <c r="AG60" s="1140"/>
      <c r="AH60" s="1140"/>
      <c r="AI60" s="1140">
        <v>40</v>
      </c>
      <c r="AJ60" s="1324">
        <v>25</v>
      </c>
      <c r="AK60" s="1325">
        <v>25</v>
      </c>
      <c r="AL60" s="1326"/>
      <c r="AM60" s="1725">
        <v>25</v>
      </c>
      <c r="AN60" s="1149"/>
      <c r="AO60" s="797"/>
      <c r="AP60" s="797"/>
      <c r="AQ60" s="797"/>
      <c r="AR60" s="798"/>
      <c r="AS60" s="799"/>
      <c r="AT60" s="798"/>
      <c r="AU60" s="800"/>
      <c r="AV60" s="800"/>
      <c r="AW60" s="800"/>
      <c r="AX60" s="784"/>
      <c r="AY60" s="785"/>
      <c r="AZ60" s="786"/>
      <c r="BA60" s="785"/>
      <c r="BB60" s="786"/>
      <c r="BC60" s="785"/>
      <c r="BD60" s="1393"/>
      <c r="BE60" s="1393"/>
      <c r="BF60" s="1391">
        <v>337630452</v>
      </c>
      <c r="BG60" s="1388">
        <f>SUM(BD60:BF61)</f>
        <v>337630452</v>
      </c>
      <c r="BH60" s="1393"/>
      <c r="BI60" s="1393">
        <f>+BH60/BG60*100</f>
        <v>0</v>
      </c>
      <c r="BJ60" s="1393"/>
      <c r="BK60" s="1393">
        <f>+BJ60/BG60*100</f>
        <v>0</v>
      </c>
      <c r="BL60" s="1393"/>
      <c r="BM60" s="1393">
        <f>+BL60/BG60*100</f>
        <v>0</v>
      </c>
      <c r="BN60" s="978"/>
      <c r="BO60" s="978"/>
      <c r="BP60" s="978"/>
      <c r="BQ60" s="978"/>
      <c r="BR60" s="978"/>
      <c r="BS60" s="978"/>
      <c r="BT60" s="978"/>
      <c r="BU60" s="978"/>
      <c r="BV60" s="978"/>
      <c r="BW60" s="978"/>
      <c r="BX60" s="978"/>
      <c r="BY60" s="978"/>
      <c r="BZ60" s="1432">
        <f>+AW60+BG60+BU60+BY60</f>
        <v>337630452</v>
      </c>
      <c r="CA60" s="1625">
        <f>+BH60+AX60+AX61</f>
        <v>0</v>
      </c>
      <c r="CB60" s="1625">
        <f>+CA60/BZ60*100</f>
        <v>0</v>
      </c>
      <c r="CC60" s="907"/>
      <c r="CD60" s="1030"/>
      <c r="CE60" s="528"/>
      <c r="CF60" s="533"/>
      <c r="CG60" s="529"/>
      <c r="CH60" s="106"/>
      <c r="CI60" s="106"/>
      <c r="CJ60" s="106"/>
      <c r="CK60" s="106"/>
      <c r="CL60" s="797"/>
      <c r="CM60" s="589"/>
      <c r="CP60" s="590"/>
      <c r="CX60" s="911">
        <f>+BF60-BN60</f>
        <v>337630452</v>
      </c>
      <c r="CY60" s="1010"/>
      <c r="DA60" s="1109"/>
    </row>
    <row r="61" spans="1:107" s="68" customFormat="1" ht="124.5" customHeight="1" x14ac:dyDescent="0.2">
      <c r="A61" s="16"/>
      <c r="C61" s="792"/>
      <c r="D61" s="792"/>
      <c r="E61" s="583"/>
      <c r="F61" s="792"/>
      <c r="G61" s="792"/>
      <c r="H61" s="792"/>
      <c r="I61" s="792"/>
      <c r="J61" s="793"/>
      <c r="K61" s="794"/>
      <c r="L61" s="795"/>
      <c r="M61" s="795"/>
      <c r="N61" s="795"/>
      <c r="O61" s="795"/>
      <c r="P61" s="1628"/>
      <c r="Q61" s="796"/>
      <c r="R61" s="1724"/>
      <c r="S61" s="796"/>
      <c r="T61" s="796"/>
      <c r="U61" s="1321" t="s">
        <v>731</v>
      </c>
      <c r="V61" s="1322" t="s">
        <v>1147</v>
      </c>
      <c r="W61" s="1140"/>
      <c r="X61" s="1140"/>
      <c r="Y61" s="1323"/>
      <c r="Z61" s="1153"/>
      <c r="AA61" s="1323"/>
      <c r="AB61" s="1140">
        <v>1</v>
      </c>
      <c r="AC61" s="1140">
        <v>0</v>
      </c>
      <c r="AD61" s="223">
        <f>(((AC61/AB61*100)*AM61)/100)</f>
        <v>0</v>
      </c>
      <c r="AE61" s="1149" t="s">
        <v>1276</v>
      </c>
      <c r="AF61" s="1140">
        <v>0</v>
      </c>
      <c r="AG61" s="1140"/>
      <c r="AH61" s="1140"/>
      <c r="AI61" s="1140">
        <v>4</v>
      </c>
      <c r="AJ61" s="1324">
        <v>1</v>
      </c>
      <c r="AK61" s="1325">
        <v>25</v>
      </c>
      <c r="AL61" s="1326"/>
      <c r="AM61" s="1726"/>
      <c r="AN61" s="1149"/>
      <c r="AO61" s="797"/>
      <c r="AP61" s="797"/>
      <c r="AQ61" s="797"/>
      <c r="AR61" s="798"/>
      <c r="AS61" s="799"/>
      <c r="AT61" s="798"/>
      <c r="AU61" s="800"/>
      <c r="AV61" s="800"/>
      <c r="AW61" s="800"/>
      <c r="AX61" s="784"/>
      <c r="AY61" s="785"/>
      <c r="AZ61" s="786"/>
      <c r="BA61" s="785"/>
      <c r="BB61" s="786"/>
      <c r="BC61" s="785"/>
      <c r="BD61" s="1394"/>
      <c r="BE61" s="1394"/>
      <c r="BF61" s="1392"/>
      <c r="BG61" s="1390"/>
      <c r="BH61" s="1394"/>
      <c r="BI61" s="1394" t="e">
        <f>+BH61/BG61*100</f>
        <v>#DIV/0!</v>
      </c>
      <c r="BJ61" s="1394"/>
      <c r="BK61" s="1394" t="e">
        <f>+BJ61/BG61*100</f>
        <v>#DIV/0!</v>
      </c>
      <c r="BL61" s="1394"/>
      <c r="BM61" s="1394" t="e">
        <f>+BL61/BG61*100</f>
        <v>#DIV/0!</v>
      </c>
      <c r="BN61" s="978"/>
      <c r="BO61" s="978"/>
      <c r="BP61" s="978"/>
      <c r="BQ61" s="978"/>
      <c r="BR61" s="978"/>
      <c r="BS61" s="978"/>
      <c r="BT61" s="978"/>
      <c r="BU61" s="978"/>
      <c r="BV61" s="978"/>
      <c r="BW61" s="978"/>
      <c r="BX61" s="978"/>
      <c r="BY61" s="978"/>
      <c r="BZ61" s="1440"/>
      <c r="CA61" s="1626"/>
      <c r="CB61" s="1626"/>
      <c r="CC61" s="907"/>
      <c r="CD61" s="1030"/>
      <c r="CE61" s="528"/>
      <c r="CF61" s="533"/>
      <c r="CG61" s="529"/>
      <c r="CH61" s="106"/>
      <c r="CI61" s="106"/>
      <c r="CJ61" s="106"/>
      <c r="CK61" s="106"/>
      <c r="CL61" s="797"/>
      <c r="CM61" s="589"/>
      <c r="CP61" s="590"/>
      <c r="CX61" s="911">
        <f>+BF61-BN61</f>
        <v>0</v>
      </c>
      <c r="CY61" s="1010"/>
      <c r="DA61" s="1112"/>
    </row>
    <row r="62" spans="1:107" s="830" customFormat="1" ht="114" customHeight="1" x14ac:dyDescent="0.2">
      <c r="A62" s="814" t="s">
        <v>46</v>
      </c>
      <c r="C62" s="831"/>
      <c r="D62" s="831"/>
      <c r="E62" s="860"/>
      <c r="F62" s="831"/>
      <c r="G62" s="831"/>
      <c r="H62" s="831"/>
      <c r="I62" s="831"/>
      <c r="J62" s="1138" t="s">
        <v>846</v>
      </c>
      <c r="K62" s="1138"/>
      <c r="L62" s="1209">
        <v>20</v>
      </c>
      <c r="M62" s="1209">
        <v>20</v>
      </c>
      <c r="N62" s="1209">
        <v>20</v>
      </c>
      <c r="O62" s="1209">
        <v>20</v>
      </c>
      <c r="P62" s="1205"/>
      <c r="Q62" s="1205"/>
      <c r="R62" s="1205"/>
      <c r="S62" s="1205"/>
      <c r="T62" s="1205"/>
      <c r="U62" s="1254"/>
      <c r="V62" s="1207"/>
      <c r="W62" s="1203"/>
      <c r="X62" s="1203"/>
      <c r="Y62" s="1211">
        <f>(((((Y63+Y64+Y65+Y66+Y67)/5)+Y69)*AL62)/100)</f>
        <v>11.767741935483871</v>
      </c>
      <c r="Z62" s="1211"/>
      <c r="AA62" s="1211">
        <f>((((AA63+AA64+AA65+AA66+AA67+AA69)/6)*AL62)/100)</f>
        <v>5.7</v>
      </c>
      <c r="AB62" s="1211"/>
      <c r="AC62" s="1211"/>
      <c r="AD62" s="1211">
        <f>(((((AD63+AD64+AD65+AD66+AD67)/5)+AD69)*AM62)/100)</f>
        <v>14.215199999999999</v>
      </c>
      <c r="AE62" s="1211"/>
      <c r="AF62" s="1211">
        <f>(AF63+AF64+AF65+AF66+AF67)/5</f>
        <v>75.027999999999992</v>
      </c>
      <c r="AG62" s="1211"/>
      <c r="AH62" s="1211"/>
      <c r="AI62" s="1211"/>
      <c r="AJ62" s="1211"/>
      <c r="AK62" s="1211">
        <f>((AK63+AK64+AK65+AK66+AK67+AK69)/6)</f>
        <v>35.640833333333333</v>
      </c>
      <c r="AL62" s="1211">
        <f>+L62</f>
        <v>20</v>
      </c>
      <c r="AM62" s="1211">
        <v>20</v>
      </c>
      <c r="AN62" s="1255"/>
      <c r="AO62" s="821">
        <f>SUM(AO63:AO69)</f>
        <v>352879237</v>
      </c>
      <c r="AP62" s="821">
        <f>SUM(AP63:AP69)</f>
        <v>0</v>
      </c>
      <c r="AQ62" s="821">
        <f>SUM(AO62:AP62)</f>
        <v>352879237</v>
      </c>
      <c r="AR62" s="822">
        <f>+AR63</f>
        <v>510891266.26999998</v>
      </c>
      <c r="AS62" s="822"/>
      <c r="AT62" s="822">
        <f>+AT63</f>
        <v>510891266.26999998</v>
      </c>
      <c r="AU62" s="823">
        <f>SUM(AU63:AU69)</f>
        <v>498850377.26999998</v>
      </c>
      <c r="AV62" s="823">
        <f>SUM(AV63:AV69)</f>
        <v>0</v>
      </c>
      <c r="AW62" s="823">
        <f>SUM(AU62:AV62)</f>
        <v>498850377.26999998</v>
      </c>
      <c r="AX62" s="824">
        <f>+AX63</f>
        <v>418068800</v>
      </c>
      <c r="AY62" s="825">
        <f>+AX62/AW62*100</f>
        <v>83.806451603367762</v>
      </c>
      <c r="AZ62" s="826">
        <f>+AZ63</f>
        <v>341350292</v>
      </c>
      <c r="BA62" s="825">
        <f>+AZ62/AW62*100</f>
        <v>68.427389765257416</v>
      </c>
      <c r="BB62" s="826">
        <f>+BB63</f>
        <v>341350292</v>
      </c>
      <c r="BC62" s="825">
        <f>+BB62/AW62*100</f>
        <v>68.427389765257416</v>
      </c>
      <c r="BD62" s="947">
        <f>SUM(BD63:BD69)</f>
        <v>529850484.54000002</v>
      </c>
      <c r="BE62" s="947">
        <f>SUM(BE63:BE69)</f>
        <v>0</v>
      </c>
      <c r="BF62" s="947">
        <f>SUM(BF63:BF69)</f>
        <v>0</v>
      </c>
      <c r="BG62" s="947">
        <f>SUM(BD62:BF62)</f>
        <v>529850484.54000002</v>
      </c>
      <c r="BH62" s="947">
        <f>SUM(BH63:BH69)</f>
        <v>327639396</v>
      </c>
      <c r="BI62" s="947">
        <f>+BH62/BG62*100</f>
        <v>61.836198240801174</v>
      </c>
      <c r="BJ62" s="947">
        <f>SUM(BJ63:BJ69)</f>
        <v>46688669</v>
      </c>
      <c r="BK62" s="947">
        <f>+BJ62/BG62*100</f>
        <v>8.8116686428122595</v>
      </c>
      <c r="BL62" s="947">
        <f>SUM(BL63:BL69)</f>
        <v>46688669</v>
      </c>
      <c r="BM62" s="947">
        <f>+BL62/BG62*100</f>
        <v>8.8116686428122595</v>
      </c>
      <c r="BN62" s="947">
        <f>SUM(BN63:BN69)</f>
        <v>390547312</v>
      </c>
      <c r="BO62" s="947">
        <f>SUM(BO63:BO69)</f>
        <v>0</v>
      </c>
      <c r="BP62" s="947">
        <f>SUM(BP63:BP69)</f>
        <v>0</v>
      </c>
      <c r="BQ62" s="947">
        <f>SUM(BN62:BP62)</f>
        <v>390547312</v>
      </c>
      <c r="BR62" s="947">
        <f>SUM(BR63:BR69)</f>
        <v>408019284</v>
      </c>
      <c r="BS62" s="947">
        <f>SUM(BS63:BS69)</f>
        <v>0</v>
      </c>
      <c r="BT62" s="947">
        <f>SUM(BT63:BT69)</f>
        <v>0</v>
      </c>
      <c r="BU62" s="947">
        <f t="shared" si="22"/>
        <v>408019284</v>
      </c>
      <c r="BV62" s="947">
        <f>SUM(BV63:BV69)</f>
        <v>426303192</v>
      </c>
      <c r="BW62" s="947">
        <f>SUM(BW63:BW69)</f>
        <v>0</v>
      </c>
      <c r="BX62" s="947">
        <f>SUM(BX63:BX69)</f>
        <v>0</v>
      </c>
      <c r="BY62" s="947">
        <f t="shared" si="23"/>
        <v>426303192</v>
      </c>
      <c r="BZ62" s="948">
        <f>+BZ63</f>
        <v>1863023337.8099999</v>
      </c>
      <c r="CA62" s="948">
        <f>+CA63</f>
        <v>745708196</v>
      </c>
      <c r="CB62" s="949">
        <f>+CA62/BZ62*100</f>
        <v>40.026776952595043</v>
      </c>
      <c r="CC62" s="827"/>
      <c r="CD62" s="825"/>
      <c r="CE62" s="828"/>
      <c r="CF62" s="834">
        <f>+BZ63</f>
        <v>1863023337.8099999</v>
      </c>
      <c r="CG62" s="835">
        <v>158012029.27000001</v>
      </c>
      <c r="CH62" s="835"/>
      <c r="CI62" s="835"/>
      <c r="CJ62" s="835"/>
      <c r="CK62" s="835"/>
      <c r="CL62" s="821"/>
      <c r="CX62" s="911">
        <f t="shared" si="0"/>
        <v>139303172.54000002</v>
      </c>
      <c r="CY62" s="1009"/>
      <c r="DA62" s="1067"/>
    </row>
    <row r="63" spans="1:107" s="68" customFormat="1" ht="123.75" x14ac:dyDescent="0.2">
      <c r="A63" s="16" t="s">
        <v>47</v>
      </c>
      <c r="C63" s="531"/>
      <c r="D63" s="531"/>
      <c r="E63" s="583"/>
      <c r="F63" s="531"/>
      <c r="G63" s="531"/>
      <c r="H63" s="531"/>
      <c r="I63" s="531"/>
      <c r="J63" s="1521"/>
      <c r="K63" s="1535" t="s">
        <v>421</v>
      </c>
      <c r="L63" s="519"/>
      <c r="M63" s="519"/>
      <c r="N63" s="519"/>
      <c r="O63" s="519"/>
      <c r="P63" s="1731" t="s">
        <v>1148</v>
      </c>
      <c r="Q63" s="1655">
        <v>70</v>
      </c>
      <c r="R63" s="1655">
        <v>100</v>
      </c>
      <c r="S63" s="1655">
        <v>70</v>
      </c>
      <c r="T63" s="1655">
        <v>70</v>
      </c>
      <c r="U63" s="806" t="s">
        <v>1149</v>
      </c>
      <c r="V63" s="807" t="s">
        <v>147</v>
      </c>
      <c r="W63" s="591">
        <v>100</v>
      </c>
      <c r="X63" s="591">
        <v>100</v>
      </c>
      <c r="Y63" s="1113">
        <f>(((X63/W63*100)*AL63)/100)</f>
        <v>70</v>
      </c>
      <c r="Z63" s="1134" t="s">
        <v>1048</v>
      </c>
      <c r="AA63" s="1113">
        <v>0</v>
      </c>
      <c r="AB63" s="808">
        <v>100</v>
      </c>
      <c r="AC63" s="1136">
        <v>66.13</v>
      </c>
      <c r="AD63" s="223">
        <f>(((AC63/AB63*100)*AM63)/100)</f>
        <v>66.13</v>
      </c>
      <c r="AE63" s="1121" t="s">
        <v>1243</v>
      </c>
      <c r="AF63" s="1136">
        <v>66.13</v>
      </c>
      <c r="AG63" s="223">
        <v>40</v>
      </c>
      <c r="AH63" s="223">
        <v>40</v>
      </c>
      <c r="AI63" s="425">
        <v>100</v>
      </c>
      <c r="AJ63" s="1327">
        <f>+((X63+AC63)/400)*100</f>
        <v>41.532499999999999</v>
      </c>
      <c r="AK63" s="424">
        <f>+AJ63/AI63*100</f>
        <v>41.532499999999999</v>
      </c>
      <c r="AL63" s="1410">
        <v>70</v>
      </c>
      <c r="AM63" s="1410">
        <v>100</v>
      </c>
      <c r="AN63" s="506" t="s">
        <v>1245</v>
      </c>
      <c r="AO63" s="1422">
        <v>312879237</v>
      </c>
      <c r="AP63" s="1422"/>
      <c r="AQ63" s="1422">
        <f>SUM(AO63:AP63)</f>
        <v>312879237</v>
      </c>
      <c r="AR63" s="1506">
        <v>510891266.26999998</v>
      </c>
      <c r="AS63" s="1426"/>
      <c r="AT63" s="1426">
        <f>+AR63+AS63</f>
        <v>510891266.26999998</v>
      </c>
      <c r="AU63" s="1419">
        <v>498850377.26999998</v>
      </c>
      <c r="AV63" s="1419"/>
      <c r="AW63" s="1419">
        <f>SUM(AU63:AV63)</f>
        <v>498850377.26999998</v>
      </c>
      <c r="AX63" s="1429">
        <v>418068800</v>
      </c>
      <c r="AY63" s="1513">
        <f>+AX63/AW63*100</f>
        <v>83.806451603367762</v>
      </c>
      <c r="AZ63" s="1516">
        <v>341350292</v>
      </c>
      <c r="BA63" s="1513">
        <f>+AZ63/AW63*100</f>
        <v>68.427389765257416</v>
      </c>
      <c r="BB63" s="1516">
        <v>341350292</v>
      </c>
      <c r="BC63" s="1513">
        <f>+BB63/AW63*100</f>
        <v>68.427389765257416</v>
      </c>
      <c r="BD63" s="1388">
        <v>529850484.54000002</v>
      </c>
      <c r="BE63" s="1388"/>
      <c r="BF63" s="1388"/>
      <c r="BG63" s="1388">
        <f>SUM(BD63:BF63)</f>
        <v>529850484.54000002</v>
      </c>
      <c r="BH63" s="1388">
        <v>327639396</v>
      </c>
      <c r="BI63" s="1388">
        <f>+BH63/BG63*100</f>
        <v>61.836198240801174</v>
      </c>
      <c r="BJ63" s="1388">
        <v>46688669</v>
      </c>
      <c r="BK63" s="1388">
        <f>+BJ63/BG63*100</f>
        <v>8.8116686428122595</v>
      </c>
      <c r="BL63" s="1388">
        <v>46688669</v>
      </c>
      <c r="BM63" s="1388">
        <f>+BL63/BG63*100</f>
        <v>8.8116686428122595</v>
      </c>
      <c r="BN63" s="1388">
        <v>390547312</v>
      </c>
      <c r="BO63" s="1388"/>
      <c r="BP63" s="1388"/>
      <c r="BQ63" s="1388">
        <f>SUM(BN63:BP63)</f>
        <v>390547312</v>
      </c>
      <c r="BR63" s="1388">
        <v>408019284</v>
      </c>
      <c r="BS63" s="1388"/>
      <c r="BT63" s="1388"/>
      <c r="BU63" s="1388">
        <f t="shared" si="22"/>
        <v>408019284</v>
      </c>
      <c r="BV63" s="1388">
        <v>426303192</v>
      </c>
      <c r="BW63" s="1388"/>
      <c r="BX63" s="1388"/>
      <c r="BY63" s="1388">
        <f t="shared" si="23"/>
        <v>426303192</v>
      </c>
      <c r="BZ63" s="1432">
        <f>+AW63+BG63+BU63+BY63</f>
        <v>1863023337.8099999</v>
      </c>
      <c r="CA63" s="1480">
        <f>+BH63+AX63</f>
        <v>745708196</v>
      </c>
      <c r="CB63" s="1477">
        <f>+CA63/BZ63*100</f>
        <v>40.026776952595043</v>
      </c>
      <c r="CC63" s="1608" t="s">
        <v>1010</v>
      </c>
      <c r="CD63" s="1735" t="s">
        <v>1186</v>
      </c>
      <c r="CE63" s="528"/>
      <c r="CF63" s="528"/>
      <c r="CG63" s="529"/>
      <c r="CH63" t="s">
        <v>458</v>
      </c>
      <c r="CI63" s="106"/>
      <c r="CJ63" s="106"/>
      <c r="CK63" s="106"/>
      <c r="CL63" s="251"/>
      <c r="CX63" s="911">
        <f t="shared" si="0"/>
        <v>139303172.54000002</v>
      </c>
      <c r="CY63" s="1013"/>
      <c r="CZ63" s="1020"/>
      <c r="DA63" s="1114"/>
    </row>
    <row r="64" spans="1:107" s="68" customFormat="1" ht="123.75" x14ac:dyDescent="0.2">
      <c r="A64" s="16" t="s">
        <v>48</v>
      </c>
      <c r="C64" s="531"/>
      <c r="D64" s="531"/>
      <c r="E64" s="583"/>
      <c r="F64" s="531"/>
      <c r="G64" s="531"/>
      <c r="H64" s="531"/>
      <c r="I64" s="531"/>
      <c r="J64" s="1475"/>
      <c r="K64" s="1562"/>
      <c r="L64" s="520"/>
      <c r="M64" s="520"/>
      <c r="N64" s="520"/>
      <c r="O64" s="520"/>
      <c r="P64" s="1732"/>
      <c r="Q64" s="1680"/>
      <c r="R64" s="1680"/>
      <c r="S64" s="1680"/>
      <c r="T64" s="1680"/>
      <c r="U64" s="806" t="s">
        <v>1150</v>
      </c>
      <c r="V64" s="807" t="s">
        <v>147</v>
      </c>
      <c r="W64" s="591">
        <v>100</v>
      </c>
      <c r="X64" s="591">
        <v>100</v>
      </c>
      <c r="Y64" s="1113">
        <f>(((X64/W64*100)*AL63)/100)</f>
        <v>70</v>
      </c>
      <c r="Z64" s="1134" t="s">
        <v>1142</v>
      </c>
      <c r="AA64" s="1113">
        <f>+X64</f>
        <v>100</v>
      </c>
      <c r="AB64" s="808">
        <v>100</v>
      </c>
      <c r="AC64" s="1327">
        <v>39.25</v>
      </c>
      <c r="AD64" s="223">
        <f>(((AC64/AB64*100)*AM63)/100)</f>
        <v>39.25</v>
      </c>
      <c r="AE64" s="1134" t="s">
        <v>1244</v>
      </c>
      <c r="AF64" s="591">
        <v>50</v>
      </c>
      <c r="AG64" s="591">
        <v>100</v>
      </c>
      <c r="AH64" s="563">
        <v>100</v>
      </c>
      <c r="AI64" s="592">
        <v>100</v>
      </c>
      <c r="AJ64" s="1327">
        <f>+((X64+AC64)/400)*100</f>
        <v>34.8125</v>
      </c>
      <c r="AK64" s="424">
        <f>+AJ64/AI64*100</f>
        <v>34.8125</v>
      </c>
      <c r="AL64" s="1411"/>
      <c r="AM64" s="1411"/>
      <c r="AN64" s="564" t="s">
        <v>1246</v>
      </c>
      <c r="AO64" s="1476"/>
      <c r="AP64" s="1476"/>
      <c r="AQ64" s="1476">
        <f>SUM(AO64:AP64)</f>
        <v>0</v>
      </c>
      <c r="AR64" s="1507"/>
      <c r="AS64" s="1427"/>
      <c r="AT64" s="1427"/>
      <c r="AU64" s="1420"/>
      <c r="AV64" s="1420"/>
      <c r="AW64" s="1420"/>
      <c r="AX64" s="1512"/>
      <c r="AY64" s="1514" t="e">
        <f>+AX64/AR64*100</f>
        <v>#DIV/0!</v>
      </c>
      <c r="AZ64" s="1517"/>
      <c r="BA64" s="1514" t="e">
        <f>+AZ64/AT64*100</f>
        <v>#DIV/0!</v>
      </c>
      <c r="BB64" s="1517"/>
      <c r="BC64" s="1514" t="e">
        <f>+BB64/AY64*100</f>
        <v>#DIV/0!</v>
      </c>
      <c r="BD64" s="1389"/>
      <c r="BE64" s="1389"/>
      <c r="BF64" s="1389"/>
      <c r="BG64" s="1389">
        <f>SUM(BD64:BF64)</f>
        <v>0</v>
      </c>
      <c r="BH64" s="1389"/>
      <c r="BI64" s="1389"/>
      <c r="BJ64" s="1389"/>
      <c r="BK64" s="1389"/>
      <c r="BL64" s="1389"/>
      <c r="BM64" s="1389"/>
      <c r="BN64" s="1389"/>
      <c r="BO64" s="1389"/>
      <c r="BP64" s="1389"/>
      <c r="BQ64" s="1389">
        <f>SUM(BN64:BP64)</f>
        <v>0</v>
      </c>
      <c r="BR64" s="1389"/>
      <c r="BS64" s="1389"/>
      <c r="BT64" s="1389"/>
      <c r="BU64" s="1389">
        <f t="shared" si="22"/>
        <v>0</v>
      </c>
      <c r="BV64" s="1389"/>
      <c r="BW64" s="1389"/>
      <c r="BX64" s="1389"/>
      <c r="BY64" s="1389">
        <f t="shared" si="23"/>
        <v>0</v>
      </c>
      <c r="BZ64" s="1433"/>
      <c r="CA64" s="1481"/>
      <c r="CB64" s="1478" t="e">
        <f>+CA64/BX64*100</f>
        <v>#DIV/0!</v>
      </c>
      <c r="CC64" s="1609"/>
      <c r="CD64" s="1736"/>
      <c r="CE64" s="528"/>
      <c r="CF64" s="533"/>
      <c r="CG64" s="529"/>
      <c r="CH64" s="106"/>
      <c r="CI64" s="106"/>
      <c r="CJ64" s="106"/>
      <c r="CK64" s="106"/>
      <c r="CL64" s="523">
        <v>-12040889</v>
      </c>
      <c r="CX64" s="911">
        <f t="shared" si="0"/>
        <v>0</v>
      </c>
      <c r="CY64" s="1010"/>
      <c r="DA64" s="1115"/>
    </row>
    <row r="65" spans="1:106" s="68" customFormat="1" ht="111" customHeight="1" x14ac:dyDescent="0.2">
      <c r="A65" s="16"/>
      <c r="C65" s="531"/>
      <c r="D65" s="531"/>
      <c r="E65" s="583"/>
      <c r="F65" s="531"/>
      <c r="G65" s="531"/>
      <c r="H65" s="531"/>
      <c r="I65" s="531"/>
      <c r="J65" s="1475"/>
      <c r="K65" s="1562"/>
      <c r="L65" s="520"/>
      <c r="M65" s="520"/>
      <c r="N65" s="520"/>
      <c r="O65" s="520"/>
      <c r="P65" s="1732"/>
      <c r="Q65" s="1680"/>
      <c r="R65" s="1680"/>
      <c r="S65" s="1680"/>
      <c r="T65" s="1680"/>
      <c r="U65" s="806" t="s">
        <v>1151</v>
      </c>
      <c r="V65" s="807" t="s">
        <v>697</v>
      </c>
      <c r="W65" s="591">
        <v>71</v>
      </c>
      <c r="X65" s="591">
        <v>71</v>
      </c>
      <c r="Y65" s="1113">
        <v>100</v>
      </c>
      <c r="Z65" s="1134" t="s">
        <v>1049</v>
      </c>
      <c r="AA65" s="1113">
        <f>+X65</f>
        <v>71</v>
      </c>
      <c r="AB65" s="808">
        <v>71</v>
      </c>
      <c r="AC65" s="1327">
        <v>59.15</v>
      </c>
      <c r="AD65" s="223">
        <v>50</v>
      </c>
      <c r="AE65" s="1134" t="s">
        <v>1335</v>
      </c>
      <c r="AF65" s="1327">
        <v>59.01</v>
      </c>
      <c r="AG65" s="591">
        <v>100</v>
      </c>
      <c r="AH65" s="591">
        <v>100</v>
      </c>
      <c r="AI65" s="592">
        <v>100</v>
      </c>
      <c r="AJ65" s="1327">
        <f>+(X65+AC65)/2</f>
        <v>65.075000000000003</v>
      </c>
      <c r="AK65" s="424">
        <f>25+12.5</f>
        <v>37.5</v>
      </c>
      <c r="AL65" s="1411"/>
      <c r="AM65" s="1411"/>
      <c r="AN65" s="535"/>
      <c r="AO65" s="1476"/>
      <c r="AP65" s="1476"/>
      <c r="AQ65" s="1476">
        <f>SUM(AO65:AP65)</f>
        <v>0</v>
      </c>
      <c r="AR65" s="1507"/>
      <c r="AS65" s="1427"/>
      <c r="AT65" s="1427"/>
      <c r="AU65" s="1420"/>
      <c r="AV65" s="1420"/>
      <c r="AW65" s="1420"/>
      <c r="AX65" s="1512"/>
      <c r="AY65" s="1514" t="e">
        <f>+AX65/AR65*100</f>
        <v>#DIV/0!</v>
      </c>
      <c r="AZ65" s="1517"/>
      <c r="BA65" s="1514" t="e">
        <f>+AZ65/AT65*100</f>
        <v>#DIV/0!</v>
      </c>
      <c r="BB65" s="1517"/>
      <c r="BC65" s="1514" t="e">
        <f>+BB65/AY65*100</f>
        <v>#DIV/0!</v>
      </c>
      <c r="BD65" s="1389"/>
      <c r="BE65" s="1389"/>
      <c r="BF65" s="1389"/>
      <c r="BG65" s="1389">
        <f>SUM(BD65:BF65)</f>
        <v>0</v>
      </c>
      <c r="BH65" s="1389"/>
      <c r="BI65" s="1389"/>
      <c r="BJ65" s="1389"/>
      <c r="BK65" s="1389"/>
      <c r="BL65" s="1389"/>
      <c r="BM65" s="1389"/>
      <c r="BN65" s="1389"/>
      <c r="BO65" s="1389"/>
      <c r="BP65" s="1389"/>
      <c r="BQ65" s="1389">
        <f>SUM(BN65:BP65)</f>
        <v>0</v>
      </c>
      <c r="BR65" s="1389"/>
      <c r="BS65" s="1389"/>
      <c r="BT65" s="1389"/>
      <c r="BU65" s="1389">
        <f t="shared" si="22"/>
        <v>0</v>
      </c>
      <c r="BV65" s="1389"/>
      <c r="BW65" s="1389"/>
      <c r="BX65" s="1389"/>
      <c r="BY65" s="1389">
        <f t="shared" si="23"/>
        <v>0</v>
      </c>
      <c r="BZ65" s="1433"/>
      <c r="CA65" s="1481"/>
      <c r="CB65" s="1478" t="e">
        <f>+CA65/BX65*100</f>
        <v>#DIV/0!</v>
      </c>
      <c r="CC65" s="1609"/>
      <c r="CD65" s="1736"/>
      <c r="CE65" s="528"/>
      <c r="CF65" s="533"/>
      <c r="CG65" s="529"/>
      <c r="CH65" s="106"/>
      <c r="CI65" s="106"/>
      <c r="CJ65" s="106"/>
      <c r="CK65" s="106"/>
      <c r="CL65" s="523"/>
      <c r="CX65" s="911">
        <f t="shared" si="0"/>
        <v>0</v>
      </c>
      <c r="CY65" s="1010"/>
      <c r="DA65" s="1104" t="s">
        <v>1256</v>
      </c>
      <c r="DB65" s="68">
        <f>+DB64+25</f>
        <v>25</v>
      </c>
    </row>
    <row r="66" spans="1:106" s="68" customFormat="1" ht="101.25" x14ac:dyDescent="0.2">
      <c r="A66" s="16"/>
      <c r="C66" s="531"/>
      <c r="D66" s="531"/>
      <c r="E66" s="583"/>
      <c r="F66" s="531"/>
      <c r="G66" s="531"/>
      <c r="H66" s="531"/>
      <c r="I66" s="531"/>
      <c r="J66" s="1475"/>
      <c r="K66" s="1562"/>
      <c r="L66" s="520"/>
      <c r="M66" s="520"/>
      <c r="N66" s="520"/>
      <c r="O66" s="520"/>
      <c r="P66" s="1732"/>
      <c r="Q66" s="1680"/>
      <c r="R66" s="1680"/>
      <c r="S66" s="1680"/>
      <c r="T66" s="1680"/>
      <c r="U66" s="755" t="s">
        <v>693</v>
      </c>
      <c r="V66" s="807" t="s">
        <v>137</v>
      </c>
      <c r="W66" s="591">
        <v>124</v>
      </c>
      <c r="X66" s="591">
        <v>96</v>
      </c>
      <c r="Y66" s="1113">
        <f>(((X66/W66*100)*AL63)/100)</f>
        <v>54.193548387096783</v>
      </c>
      <c r="Z66" s="1134" t="s">
        <v>1050</v>
      </c>
      <c r="AA66" s="1113">
        <v>0</v>
      </c>
      <c r="AB66" s="808">
        <v>96</v>
      </c>
      <c r="AC66" s="223">
        <v>96</v>
      </c>
      <c r="AD66" s="223">
        <f>(((AC66/AB66*100)*AM63)/100)</f>
        <v>100</v>
      </c>
      <c r="AE66" s="1121" t="s">
        <v>1247</v>
      </c>
      <c r="AF66" s="223">
        <v>100</v>
      </c>
      <c r="AG66" s="223">
        <v>71</v>
      </c>
      <c r="AH66" s="223">
        <v>71</v>
      </c>
      <c r="AI66" s="425">
        <v>96</v>
      </c>
      <c r="AJ66" s="591">
        <v>96</v>
      </c>
      <c r="AK66" s="424">
        <v>50</v>
      </c>
      <c r="AL66" s="1411"/>
      <c r="AM66" s="1411"/>
      <c r="AN66" s="593"/>
      <c r="AO66" s="1476"/>
      <c r="AP66" s="1476"/>
      <c r="AQ66" s="1476"/>
      <c r="AR66" s="1507"/>
      <c r="AS66" s="1427"/>
      <c r="AT66" s="1427"/>
      <c r="AU66" s="1420"/>
      <c r="AV66" s="1420"/>
      <c r="AW66" s="1420"/>
      <c r="AX66" s="1512"/>
      <c r="AY66" s="1514" t="e">
        <f>+AX66/AR66*100</f>
        <v>#DIV/0!</v>
      </c>
      <c r="AZ66" s="1517"/>
      <c r="BA66" s="1514" t="e">
        <f>+AZ66/AT66*100</f>
        <v>#DIV/0!</v>
      </c>
      <c r="BB66" s="1517"/>
      <c r="BC66" s="1514" t="e">
        <f>+BB66/AY66*100</f>
        <v>#DIV/0!</v>
      </c>
      <c r="BD66" s="1389"/>
      <c r="BE66" s="1389"/>
      <c r="BF66" s="1389"/>
      <c r="BG66" s="1389"/>
      <c r="BH66" s="1389"/>
      <c r="BI66" s="1389"/>
      <c r="BJ66" s="1389"/>
      <c r="BK66" s="1389"/>
      <c r="BL66" s="1389"/>
      <c r="BM66" s="1389"/>
      <c r="BN66" s="1389"/>
      <c r="BO66" s="1389"/>
      <c r="BP66" s="1389"/>
      <c r="BQ66" s="1389"/>
      <c r="BR66" s="1389"/>
      <c r="BS66" s="1389"/>
      <c r="BT66" s="1389"/>
      <c r="BU66" s="1389"/>
      <c r="BV66" s="1389"/>
      <c r="BW66" s="1389"/>
      <c r="BX66" s="1389"/>
      <c r="BY66" s="1389"/>
      <c r="BZ66" s="1433"/>
      <c r="CA66" s="1481"/>
      <c r="CB66" s="1478" t="e">
        <f>+CA66/BX66*100</f>
        <v>#DIV/0!</v>
      </c>
      <c r="CC66" s="1609"/>
      <c r="CD66" s="1736"/>
      <c r="CE66" s="528"/>
      <c r="CF66" s="533"/>
      <c r="CG66" s="529"/>
      <c r="CH66" s="106"/>
      <c r="CI66" s="106"/>
      <c r="CJ66" s="106"/>
      <c r="CK66" s="106"/>
      <c r="CL66" s="523"/>
      <c r="CX66" s="911">
        <f t="shared" si="0"/>
        <v>0</v>
      </c>
      <c r="CY66" s="1010"/>
      <c r="DA66" s="1109"/>
    </row>
    <row r="67" spans="1:106" s="68" customFormat="1" ht="112.5" x14ac:dyDescent="0.2">
      <c r="A67" s="16"/>
      <c r="C67" s="531"/>
      <c r="D67" s="531"/>
      <c r="E67" s="583"/>
      <c r="F67" s="531"/>
      <c r="G67" s="531"/>
      <c r="H67" s="531"/>
      <c r="I67" s="531"/>
      <c r="J67" s="1475"/>
      <c r="K67" s="1562"/>
      <c r="L67" s="520"/>
      <c r="M67" s="520"/>
      <c r="N67" s="520"/>
      <c r="O67" s="520"/>
      <c r="P67" s="1733"/>
      <c r="Q67" s="1685"/>
      <c r="R67" s="1685"/>
      <c r="S67" s="1685"/>
      <c r="T67" s="1685"/>
      <c r="U67" s="755" t="s">
        <v>1152</v>
      </c>
      <c r="V67" s="807" t="s">
        <v>147</v>
      </c>
      <c r="W67" s="591">
        <v>100</v>
      </c>
      <c r="X67" s="591"/>
      <c r="Y67" s="1113"/>
      <c r="Z67" s="1134" t="s">
        <v>910</v>
      </c>
      <c r="AA67" s="1113">
        <f>+Y67</f>
        <v>0</v>
      </c>
      <c r="AB67" s="808">
        <v>100</v>
      </c>
      <c r="AC67" s="223">
        <v>100</v>
      </c>
      <c r="AD67" s="223">
        <f>(((AC67/AB67*100)*AM63)/100)</f>
        <v>100</v>
      </c>
      <c r="AE67" s="1121" t="s">
        <v>1249</v>
      </c>
      <c r="AF67" s="223">
        <v>100</v>
      </c>
      <c r="AG67" s="223">
        <v>124</v>
      </c>
      <c r="AH67" s="223">
        <v>124</v>
      </c>
      <c r="AI67" s="425">
        <v>100</v>
      </c>
      <c r="AJ67" s="591">
        <f>+X67+AC67</f>
        <v>100</v>
      </c>
      <c r="AK67" s="424">
        <v>50</v>
      </c>
      <c r="AL67" s="1412"/>
      <c r="AM67" s="1412"/>
      <c r="AN67" s="506" t="s">
        <v>1248</v>
      </c>
      <c r="AO67" s="1423"/>
      <c r="AP67" s="1423"/>
      <c r="AQ67" s="1423"/>
      <c r="AR67" s="1507"/>
      <c r="AS67" s="1427"/>
      <c r="AT67" s="1427"/>
      <c r="AU67" s="1420"/>
      <c r="AV67" s="1420"/>
      <c r="AW67" s="1420"/>
      <c r="AX67" s="1512"/>
      <c r="AY67" s="1514" t="e">
        <f>+AX67/AR67*100</f>
        <v>#DIV/0!</v>
      </c>
      <c r="AZ67" s="1517"/>
      <c r="BA67" s="1514" t="e">
        <f>+AZ67/AT67*100</f>
        <v>#DIV/0!</v>
      </c>
      <c r="BB67" s="1517"/>
      <c r="BC67" s="1514" t="e">
        <f>+BB67/AY67*100</f>
        <v>#DIV/0!</v>
      </c>
      <c r="BD67" s="1389"/>
      <c r="BE67" s="1389"/>
      <c r="BF67" s="1389"/>
      <c r="BG67" s="1389"/>
      <c r="BH67" s="1389"/>
      <c r="BI67" s="1389"/>
      <c r="BJ67" s="1389"/>
      <c r="BK67" s="1389"/>
      <c r="BL67" s="1389"/>
      <c r="BM67" s="1389"/>
      <c r="BN67" s="1389"/>
      <c r="BO67" s="1389"/>
      <c r="BP67" s="1389"/>
      <c r="BQ67" s="1389"/>
      <c r="BR67" s="1389"/>
      <c r="BS67" s="1389"/>
      <c r="BT67" s="1389"/>
      <c r="BU67" s="1389"/>
      <c r="BV67" s="1389"/>
      <c r="BW67" s="1389"/>
      <c r="BX67" s="1389"/>
      <c r="BY67" s="1389"/>
      <c r="BZ67" s="1433"/>
      <c r="CA67" s="1481"/>
      <c r="CB67" s="1478" t="e">
        <f>+CA67/BX67*100</f>
        <v>#DIV/0!</v>
      </c>
      <c r="CC67" s="1609"/>
      <c r="CD67" s="1736"/>
      <c r="CE67" s="528"/>
      <c r="CF67" s="528"/>
      <c r="CG67" s="529"/>
      <c r="CH67" s="106"/>
      <c r="CI67" s="106"/>
      <c r="CJ67" s="106"/>
      <c r="CK67" s="106"/>
      <c r="CL67" s="523"/>
      <c r="CX67" s="911">
        <f t="shared" si="0"/>
        <v>0</v>
      </c>
      <c r="CY67" s="1010"/>
      <c r="DA67" s="1104" t="s">
        <v>1250</v>
      </c>
    </row>
    <row r="68" spans="1:106" s="68" customFormat="1" ht="69" hidden="1" customHeight="1" x14ac:dyDescent="0.2">
      <c r="A68" s="16"/>
      <c r="C68" s="792"/>
      <c r="D68" s="792"/>
      <c r="E68" s="583"/>
      <c r="F68" s="792"/>
      <c r="G68" s="792"/>
      <c r="H68" s="792"/>
      <c r="I68" s="792"/>
      <c r="J68" s="1475"/>
      <c r="K68" s="791"/>
      <c r="L68" s="787"/>
      <c r="M68" s="787"/>
      <c r="N68" s="787"/>
      <c r="O68" s="787"/>
      <c r="P68" s="801"/>
      <c r="Q68" s="788"/>
      <c r="R68" s="788"/>
      <c r="S68" s="788"/>
      <c r="T68" s="788"/>
      <c r="U68" s="507"/>
      <c r="V68" s="802"/>
      <c r="W68" s="804"/>
      <c r="X68" s="804"/>
      <c r="Y68" s="1089"/>
      <c r="Z68" s="881"/>
      <c r="AA68" s="880"/>
      <c r="AB68" s="223"/>
      <c r="AC68" s="273"/>
      <c r="AD68" s="901"/>
      <c r="AE68" s="273"/>
      <c r="AF68" s="273"/>
      <c r="AG68" s="223"/>
      <c r="AH68" s="223"/>
      <c r="AI68" s="425"/>
      <c r="AJ68" s="901"/>
      <c r="AK68" s="424"/>
      <c r="AL68" s="891"/>
      <c r="AM68" s="897"/>
      <c r="AN68" s="509"/>
      <c r="AO68" s="790"/>
      <c r="AP68" s="790"/>
      <c r="AQ68" s="790"/>
      <c r="AR68" s="1507"/>
      <c r="AS68" s="1427"/>
      <c r="AT68" s="1427"/>
      <c r="AU68" s="1420"/>
      <c r="AV68" s="1420"/>
      <c r="AW68" s="1420"/>
      <c r="AX68" s="1512"/>
      <c r="AY68" s="1514"/>
      <c r="AZ68" s="1517"/>
      <c r="BA68" s="1514"/>
      <c r="BB68" s="1517"/>
      <c r="BC68" s="1514"/>
      <c r="BD68" s="1389"/>
      <c r="BE68" s="1389"/>
      <c r="BF68" s="1389"/>
      <c r="BG68" s="1389"/>
      <c r="BH68" s="1389"/>
      <c r="BI68" s="1389"/>
      <c r="BJ68" s="1389"/>
      <c r="BK68" s="1389"/>
      <c r="BL68" s="1389"/>
      <c r="BM68" s="1389"/>
      <c r="BN68" s="1389"/>
      <c r="BO68" s="1389"/>
      <c r="BP68" s="1389"/>
      <c r="BQ68" s="1389"/>
      <c r="BR68" s="1389"/>
      <c r="BS68" s="1389"/>
      <c r="BT68" s="1389"/>
      <c r="BU68" s="1389"/>
      <c r="BV68" s="1389"/>
      <c r="BW68" s="1389"/>
      <c r="BX68" s="1389"/>
      <c r="BY68" s="1389"/>
      <c r="BZ68" s="1433"/>
      <c r="CA68" s="1481"/>
      <c r="CB68" s="1478"/>
      <c r="CC68" s="1609"/>
      <c r="CD68" s="1736"/>
      <c r="CE68" s="528"/>
      <c r="CF68" s="528"/>
      <c r="CG68" s="529"/>
      <c r="CH68" s="106"/>
      <c r="CI68" s="106"/>
      <c r="CJ68" s="106"/>
      <c r="CK68" s="106"/>
      <c r="CL68" s="789"/>
      <c r="CX68" s="911">
        <f t="shared" si="0"/>
        <v>0</v>
      </c>
      <c r="CY68" s="1010"/>
      <c r="DA68" s="1068"/>
    </row>
    <row r="69" spans="1:106" s="1" customFormat="1" ht="69" hidden="1" customHeight="1" x14ac:dyDescent="0.2">
      <c r="A69" s="922" t="s">
        <v>49</v>
      </c>
      <c r="C69" s="926"/>
      <c r="D69" s="926"/>
      <c r="E69" s="927"/>
      <c r="F69" s="926"/>
      <c r="G69" s="926"/>
      <c r="H69" s="926"/>
      <c r="I69" s="926"/>
      <c r="J69" s="1522"/>
      <c r="K69" s="922" t="s">
        <v>433</v>
      </c>
      <c r="L69" s="928"/>
      <c r="M69" s="928"/>
      <c r="N69" s="928"/>
      <c r="O69" s="928"/>
      <c r="P69" s="922"/>
      <c r="Q69" s="396"/>
      <c r="R69" s="396"/>
      <c r="S69" s="396"/>
      <c r="T69" s="396"/>
      <c r="U69" s="137"/>
      <c r="V69" s="923"/>
      <c r="W69" s="804"/>
      <c r="X69" s="804"/>
      <c r="Y69" s="1089"/>
      <c r="Z69" s="420"/>
      <c r="AA69" s="929"/>
      <c r="AB69" s="214"/>
      <c r="AC69" s="214"/>
      <c r="AD69" s="214"/>
      <c r="AE69" s="214"/>
      <c r="AF69" s="214"/>
      <c r="AG69" s="214">
        <v>1</v>
      </c>
      <c r="AH69" s="214">
        <v>1</v>
      </c>
      <c r="AI69" s="187">
        <f>+W69+AB69+AG69+AH69</f>
        <v>2</v>
      </c>
      <c r="AJ69" s="901">
        <f>+X69+AC69</f>
        <v>0</v>
      </c>
      <c r="AK69" s="419">
        <f>+AJ69/AI69*100</f>
        <v>0</v>
      </c>
      <c r="AL69" s="930">
        <v>30</v>
      </c>
      <c r="AM69" s="930"/>
      <c r="AN69" s="397"/>
      <c r="AO69" s="925">
        <v>40000000</v>
      </c>
      <c r="AP69" s="925"/>
      <c r="AQ69" s="925">
        <f>SUM(AO69:AP69)</f>
        <v>40000000</v>
      </c>
      <c r="AR69" s="1508"/>
      <c r="AS69" s="1428"/>
      <c r="AT69" s="1428"/>
      <c r="AU69" s="1421"/>
      <c r="AV69" s="1421"/>
      <c r="AW69" s="1421"/>
      <c r="AX69" s="1430"/>
      <c r="AY69" s="1515" t="e">
        <f>+AX69/AR69*100</f>
        <v>#DIV/0!</v>
      </c>
      <c r="AZ69" s="1518"/>
      <c r="BA69" s="1515" t="e">
        <f>+AZ69/AT69*100</f>
        <v>#DIV/0!</v>
      </c>
      <c r="BB69" s="1518"/>
      <c r="BC69" s="1515" t="e">
        <f>+BB69/AY69*100</f>
        <v>#DIV/0!</v>
      </c>
      <c r="BD69" s="1390"/>
      <c r="BE69" s="1390"/>
      <c r="BF69" s="1390"/>
      <c r="BG69" s="1390">
        <f>SUM(BD69:BF69)</f>
        <v>0</v>
      </c>
      <c r="BH69" s="1390"/>
      <c r="BI69" s="1390"/>
      <c r="BJ69" s="1390"/>
      <c r="BK69" s="1390"/>
      <c r="BL69" s="1390"/>
      <c r="BM69" s="1390"/>
      <c r="BN69" s="1390"/>
      <c r="BO69" s="1390"/>
      <c r="BP69" s="1390"/>
      <c r="BQ69" s="1390">
        <f>SUM(BN69:BP69)</f>
        <v>0</v>
      </c>
      <c r="BR69" s="1390"/>
      <c r="BS69" s="1390"/>
      <c r="BT69" s="1390"/>
      <c r="BU69" s="1390">
        <f>SUM(BR69:BT69)</f>
        <v>0</v>
      </c>
      <c r="BV69" s="1390"/>
      <c r="BW69" s="1390"/>
      <c r="BX69" s="1390"/>
      <c r="BY69" s="1390">
        <f>SUM(BV69:BX69)</f>
        <v>0</v>
      </c>
      <c r="BZ69" s="1440"/>
      <c r="CA69" s="1482"/>
      <c r="CB69" s="1479" t="e">
        <f>+CA69/BX69*100</f>
        <v>#DIV/0!</v>
      </c>
      <c r="CC69" s="1610"/>
      <c r="CD69" s="1737"/>
      <c r="CE69" s="193"/>
      <c r="CF69" s="931"/>
      <c r="CG69" s="118"/>
      <c r="CH69" s="11"/>
      <c r="CI69" s="11"/>
      <c r="CJ69" s="11"/>
      <c r="CK69" s="11"/>
      <c r="CL69" s="924"/>
      <c r="CX69" s="911">
        <f t="shared" si="0"/>
        <v>0</v>
      </c>
      <c r="CY69" s="1008"/>
      <c r="DA69" s="1066"/>
    </row>
    <row r="70" spans="1:106" s="830" customFormat="1" ht="99" customHeight="1" x14ac:dyDescent="0.2">
      <c r="A70" s="814" t="s">
        <v>50</v>
      </c>
      <c r="C70" s="831"/>
      <c r="D70" s="831"/>
      <c r="E70" s="860"/>
      <c r="F70" s="831"/>
      <c r="G70" s="831"/>
      <c r="H70" s="831"/>
      <c r="I70" s="831"/>
      <c r="J70" s="1241" t="s">
        <v>847</v>
      </c>
      <c r="K70" s="1241"/>
      <c r="L70" s="1243">
        <v>20</v>
      </c>
      <c r="M70" s="1243">
        <v>20</v>
      </c>
      <c r="N70" s="1243">
        <v>20</v>
      </c>
      <c r="O70" s="1243">
        <v>20</v>
      </c>
      <c r="P70" s="1256"/>
      <c r="Q70" s="1257"/>
      <c r="R70" s="1257"/>
      <c r="S70" s="1257"/>
      <c r="T70" s="1257"/>
      <c r="U70" s="1258"/>
      <c r="V70" s="1259"/>
      <c r="W70" s="1260"/>
      <c r="X70" s="1260"/>
      <c r="Y70" s="1261">
        <f>((((Y71+Y72+Y73)/3)*AL70)/100)</f>
        <v>20</v>
      </c>
      <c r="Z70" s="1261"/>
      <c r="AA70" s="1261">
        <f>((((AA71+AA72+AA73+AA74)/4)*AL70)/100)</f>
        <v>20</v>
      </c>
      <c r="AB70" s="1261"/>
      <c r="AC70" s="1261"/>
      <c r="AD70" s="1261">
        <f>((((AD71+AD72+AD73+AD74)/4)*AM70)/100)</f>
        <v>8.0945</v>
      </c>
      <c r="AE70" s="1261"/>
      <c r="AF70" s="1261">
        <f>(AF71+AF72+AF73+AF74)/4</f>
        <v>40.472499999999997</v>
      </c>
      <c r="AG70" s="1261"/>
      <c r="AH70" s="1261"/>
      <c r="AI70" s="1261"/>
      <c r="AJ70" s="1261"/>
      <c r="AK70" s="1261">
        <f>((AK71+AK72+AK73+AK74)/4)</f>
        <v>31.993124999999999</v>
      </c>
      <c r="AL70" s="1261">
        <f>+L70</f>
        <v>20</v>
      </c>
      <c r="AM70" s="1261">
        <v>20</v>
      </c>
      <c r="AN70" s="1255"/>
      <c r="AO70" s="821">
        <f>SUM(AO71:AO74)</f>
        <v>208621494</v>
      </c>
      <c r="AP70" s="821">
        <f>SUM(AP71:AP74)</f>
        <v>0</v>
      </c>
      <c r="AQ70" s="821">
        <f>SUM(AO70:AP70)</f>
        <v>208621494</v>
      </c>
      <c r="AR70" s="822">
        <f>+AR71</f>
        <v>441705240.89999998</v>
      </c>
      <c r="AS70" s="822"/>
      <c r="AT70" s="822">
        <f>+AT71</f>
        <v>441705240.89999998</v>
      </c>
      <c r="AU70" s="823">
        <f>SUM(AU71:AU74)</f>
        <v>441705240.89999998</v>
      </c>
      <c r="AV70" s="823">
        <f>SUM(AV71:AV74)</f>
        <v>0</v>
      </c>
      <c r="AW70" s="823">
        <f>SUM(AU70:AV70)</f>
        <v>441705240.89999998</v>
      </c>
      <c r="AX70" s="824">
        <f>+AX71</f>
        <v>298096662</v>
      </c>
      <c r="AY70" s="825">
        <f>+AX70/AW70*100</f>
        <v>67.487689616860962</v>
      </c>
      <c r="AZ70" s="826">
        <f>+AZ71</f>
        <v>180098487</v>
      </c>
      <c r="BA70" s="825">
        <f>+AZ70/AW70*100</f>
        <v>40.773454857143854</v>
      </c>
      <c r="BB70" s="826">
        <f>+BB71</f>
        <v>180098487</v>
      </c>
      <c r="BC70" s="825">
        <f>+BB70/AW70*100</f>
        <v>40.773454857143854</v>
      </c>
      <c r="BD70" s="947">
        <f>SUM(BD71:BD74)</f>
        <v>264525269</v>
      </c>
      <c r="BE70" s="947">
        <f>SUM(BE71:BE74)</f>
        <v>0</v>
      </c>
      <c r="BF70" s="947">
        <f>SUM(BF71:BF74)</f>
        <v>0</v>
      </c>
      <c r="BG70" s="947">
        <f>SUM(BD70:BF70)</f>
        <v>264525269</v>
      </c>
      <c r="BH70" s="947">
        <f>SUM(BH71:BH74)</f>
        <v>192080408</v>
      </c>
      <c r="BI70" s="947">
        <f>+BH70/BG70*100</f>
        <v>72.613254955238332</v>
      </c>
      <c r="BJ70" s="947">
        <f>SUM(BJ71:BJ74)</f>
        <v>66676248</v>
      </c>
      <c r="BK70" s="947">
        <f>+BJ70/BG70*100</f>
        <v>25.206003287345681</v>
      </c>
      <c r="BL70" s="947">
        <f>SUM(BL71:BL74)</f>
        <v>66676248</v>
      </c>
      <c r="BM70" s="947">
        <f>+BL70/BG70*100</f>
        <v>25.206003287345681</v>
      </c>
      <c r="BN70" s="947">
        <f>SUM(BN71:BN74)</f>
        <v>214000000</v>
      </c>
      <c r="BO70" s="947">
        <f>SUM(BO71:BO74)</f>
        <v>0</v>
      </c>
      <c r="BP70" s="947">
        <f>SUM(BP71:BP74)</f>
        <v>0</v>
      </c>
      <c r="BQ70" s="947">
        <f>SUM(BN70:BP70)</f>
        <v>214000000</v>
      </c>
      <c r="BR70" s="947">
        <f>SUM(BR71:BR74)</f>
        <v>218000000</v>
      </c>
      <c r="BS70" s="947">
        <f>SUM(BS71:BS74)</f>
        <v>0</v>
      </c>
      <c r="BT70" s="947">
        <f>SUM(BT71:BT74)</f>
        <v>0</v>
      </c>
      <c r="BU70" s="947">
        <f>SUM(BR70:BT70)</f>
        <v>218000000</v>
      </c>
      <c r="BV70" s="947">
        <f>SUM(BV71:BV74)</f>
        <v>224540000</v>
      </c>
      <c r="BW70" s="947">
        <f>SUM(BW71:BW74)</f>
        <v>0</v>
      </c>
      <c r="BX70" s="947">
        <f>SUM(BX71:BX74)</f>
        <v>0</v>
      </c>
      <c r="BY70" s="947">
        <f>SUM(BV70:BX70)</f>
        <v>224540000</v>
      </c>
      <c r="BZ70" s="948">
        <f>+BZ71</f>
        <v>1148770509.9000001</v>
      </c>
      <c r="CA70" s="948">
        <f>+CA71</f>
        <v>490177070</v>
      </c>
      <c r="CB70" s="949">
        <f>+CA70/BZ70*100</f>
        <v>42.669712164065707</v>
      </c>
      <c r="CC70" s="827"/>
      <c r="CD70" s="825"/>
      <c r="CE70" s="828"/>
      <c r="CF70" s="834">
        <f>+BZ71</f>
        <v>1148770509.9000001</v>
      </c>
      <c r="CG70" s="835">
        <v>233083746.90000001</v>
      </c>
      <c r="CH70" s="867" t="s">
        <v>459</v>
      </c>
      <c r="CI70" s="835"/>
      <c r="CJ70" s="835"/>
      <c r="CK70" s="835"/>
      <c r="CL70" s="821"/>
      <c r="CX70" s="911">
        <f t="shared" si="0"/>
        <v>50525269</v>
      </c>
      <c r="CY70" s="1009"/>
      <c r="DA70" s="1067"/>
    </row>
    <row r="71" spans="1:106" s="68" customFormat="1" ht="101.25" customHeight="1" x14ac:dyDescent="0.2">
      <c r="A71" s="1449" t="s">
        <v>51</v>
      </c>
      <c r="C71" s="531"/>
      <c r="D71" s="531"/>
      <c r="E71" s="583"/>
      <c r="F71" s="531"/>
      <c r="G71" s="531"/>
      <c r="H71" s="531"/>
      <c r="I71" s="531"/>
      <c r="J71" s="1521"/>
      <c r="K71" s="1535" t="s">
        <v>421</v>
      </c>
      <c r="L71" s="594"/>
      <c r="M71" s="594"/>
      <c r="N71" s="594"/>
      <c r="O71" s="594"/>
      <c r="P71" s="1535" t="s">
        <v>51</v>
      </c>
      <c r="Q71" s="1623">
        <v>100</v>
      </c>
      <c r="R71" s="1623">
        <v>100</v>
      </c>
      <c r="S71" s="1623">
        <v>100</v>
      </c>
      <c r="T71" s="1623">
        <v>100</v>
      </c>
      <c r="U71" s="507" t="s">
        <v>763</v>
      </c>
      <c r="V71" s="508" t="s">
        <v>147</v>
      </c>
      <c r="W71" s="425">
        <v>100</v>
      </c>
      <c r="X71" s="425">
        <v>100</v>
      </c>
      <c r="Y71" s="1302">
        <f>(((X71/W71*100)*AL71)/100)</f>
        <v>100</v>
      </c>
      <c r="Z71" s="506" t="s">
        <v>1051</v>
      </c>
      <c r="AA71" s="1156">
        <f>+Y71</f>
        <v>100</v>
      </c>
      <c r="AB71" s="425">
        <v>100</v>
      </c>
      <c r="AC71" s="1328">
        <v>14.29</v>
      </c>
      <c r="AD71" s="223">
        <f>(((AC71/AB71*100)*AM71)/100)</f>
        <v>14.29</v>
      </c>
      <c r="AE71" s="506" t="s">
        <v>1251</v>
      </c>
      <c r="AF71" s="1328">
        <v>14.29</v>
      </c>
      <c r="AG71" s="425">
        <v>100</v>
      </c>
      <c r="AH71" s="425">
        <v>100</v>
      </c>
      <c r="AI71" s="425">
        <v>100</v>
      </c>
      <c r="AJ71" s="1136">
        <f>((X71+AC71)/400)*100</f>
        <v>28.572500000000002</v>
      </c>
      <c r="AK71" s="424">
        <f>+AJ71/AI71*100</f>
        <v>28.572500000000002</v>
      </c>
      <c r="AL71" s="1410">
        <v>100</v>
      </c>
      <c r="AM71" s="1410">
        <v>100</v>
      </c>
      <c r="AN71" s="507" t="s">
        <v>820</v>
      </c>
      <c r="AO71" s="1529">
        <v>208621494</v>
      </c>
      <c r="AP71" s="1529"/>
      <c r="AQ71" s="1529">
        <f>SUM(AO71:AP71)</f>
        <v>208621494</v>
      </c>
      <c r="AR71" s="1426">
        <v>441705240.89999998</v>
      </c>
      <c r="AS71" s="1532"/>
      <c r="AT71" s="1426">
        <f>+AR71+AS71</f>
        <v>441705240.89999998</v>
      </c>
      <c r="AU71" s="1419">
        <v>441705240.89999998</v>
      </c>
      <c r="AV71" s="1419"/>
      <c r="AW71" s="1419">
        <f>SUM(AU71:AV71)</f>
        <v>441705240.89999998</v>
      </c>
      <c r="AX71" s="1413">
        <v>298096662</v>
      </c>
      <c r="AY71" s="1407">
        <f>+AX71/AW71*100</f>
        <v>67.487689616860962</v>
      </c>
      <c r="AZ71" s="1404">
        <v>180098487</v>
      </c>
      <c r="BA71" s="1407">
        <f>+AZ71/AW71*100</f>
        <v>40.773454857143854</v>
      </c>
      <c r="BB71" s="1404">
        <v>180098487</v>
      </c>
      <c r="BC71" s="1407">
        <f>+BB71/AW71*100</f>
        <v>40.773454857143854</v>
      </c>
      <c r="BD71" s="1388">
        <v>264525269</v>
      </c>
      <c r="BE71" s="1388"/>
      <c r="BF71" s="1388"/>
      <c r="BG71" s="1388">
        <f>SUM(BD71:BF71)</f>
        <v>264525269</v>
      </c>
      <c r="BH71" s="1388">
        <v>192080408</v>
      </c>
      <c r="BI71" s="1388">
        <f>+BH71/BG71*100</f>
        <v>72.613254955238332</v>
      </c>
      <c r="BJ71" s="1388">
        <v>66676248</v>
      </c>
      <c r="BK71" s="1388">
        <f>+BJ71/BG71*100</f>
        <v>25.206003287345681</v>
      </c>
      <c r="BL71" s="1388">
        <v>66676248</v>
      </c>
      <c r="BM71" s="1388">
        <f>+BL71/BG71*100</f>
        <v>25.206003287345681</v>
      </c>
      <c r="BN71" s="1388">
        <v>214000000</v>
      </c>
      <c r="BO71" s="1388"/>
      <c r="BP71" s="1388"/>
      <c r="BQ71" s="1388">
        <f>SUM(BN71:BP71)</f>
        <v>214000000</v>
      </c>
      <c r="BR71" s="1388">
        <v>218000000</v>
      </c>
      <c r="BS71" s="1388"/>
      <c r="BT71" s="1388"/>
      <c r="BU71" s="1388">
        <f>SUM(BR71:BT71)</f>
        <v>218000000</v>
      </c>
      <c r="BV71" s="1388">
        <f>+ROUND(BR71*0.03,0)+BR71</f>
        <v>224540000</v>
      </c>
      <c r="BW71" s="1388"/>
      <c r="BX71" s="1388"/>
      <c r="BY71" s="1388">
        <f>SUM(BV71:BX71)</f>
        <v>224540000</v>
      </c>
      <c r="BZ71" s="1432">
        <f>+AW71+BG71+BU71+BY71</f>
        <v>1148770509.9000001</v>
      </c>
      <c r="CA71" s="1401">
        <f>+BH71+AX71</f>
        <v>490177070</v>
      </c>
      <c r="CB71" s="1434">
        <f>+CA71/BZ71*100</f>
        <v>42.669712164065707</v>
      </c>
      <c r="CC71" s="1436" t="s">
        <v>892</v>
      </c>
      <c r="CD71" s="1740" t="s">
        <v>1187</v>
      </c>
      <c r="CE71" s="528"/>
      <c r="CF71" s="528"/>
      <c r="CG71" s="529"/>
      <c r="CH71" s="106" t="s">
        <v>175</v>
      </c>
      <c r="CI71" s="106"/>
      <c r="CJ71" s="106"/>
      <c r="CK71" s="106"/>
      <c r="CL71" s="517"/>
      <c r="CX71" s="911">
        <f t="shared" ref="CX71:CX134" si="24">+BD71-BN71</f>
        <v>50525269</v>
      </c>
      <c r="CY71" s="1016"/>
      <c r="CZ71" s="1020"/>
      <c r="DA71" s="1116"/>
    </row>
    <row r="72" spans="1:106" s="68" customFormat="1" ht="122.45" customHeight="1" x14ac:dyDescent="0.2">
      <c r="A72" s="1450"/>
      <c r="C72" s="531"/>
      <c r="D72" s="531"/>
      <c r="E72" s="583"/>
      <c r="F72" s="531"/>
      <c r="G72" s="531"/>
      <c r="H72" s="531"/>
      <c r="I72" s="531"/>
      <c r="J72" s="1475"/>
      <c r="K72" s="1562"/>
      <c r="L72" s="595"/>
      <c r="M72" s="595"/>
      <c r="N72" s="595"/>
      <c r="O72" s="595"/>
      <c r="P72" s="1562"/>
      <c r="Q72" s="1624"/>
      <c r="R72" s="1624"/>
      <c r="S72" s="1624"/>
      <c r="T72" s="1624"/>
      <c r="U72" s="507" t="s">
        <v>764</v>
      </c>
      <c r="V72" s="508" t="s">
        <v>147</v>
      </c>
      <c r="W72" s="425">
        <v>100</v>
      </c>
      <c r="X72" s="425">
        <v>100</v>
      </c>
      <c r="Y72" s="1302">
        <f>(((X72/W72*100)*AL71)/100)</f>
        <v>100</v>
      </c>
      <c r="Z72" s="506" t="s">
        <v>1052</v>
      </c>
      <c r="AA72" s="1156">
        <f>+Y72</f>
        <v>100</v>
      </c>
      <c r="AB72" s="425">
        <v>100</v>
      </c>
      <c r="AC72" s="1328">
        <v>47.6</v>
      </c>
      <c r="AD72" s="223">
        <f>(((AC72/AB72*100)*AM71)/100)</f>
        <v>47.6</v>
      </c>
      <c r="AE72" s="506" t="s">
        <v>1347</v>
      </c>
      <c r="AF72" s="1328">
        <v>47.6</v>
      </c>
      <c r="AG72" s="425">
        <v>100</v>
      </c>
      <c r="AH72" s="425">
        <v>100</v>
      </c>
      <c r="AI72" s="425">
        <v>100</v>
      </c>
      <c r="AJ72" s="1136">
        <f>((X72+AC72)/400)*100</f>
        <v>36.9</v>
      </c>
      <c r="AK72" s="424">
        <f>+AJ72/AI72*100</f>
        <v>36.9</v>
      </c>
      <c r="AL72" s="1411"/>
      <c r="AM72" s="1411"/>
      <c r="AN72" s="507" t="s">
        <v>819</v>
      </c>
      <c r="AO72" s="1530"/>
      <c r="AP72" s="1530"/>
      <c r="AQ72" s="1530">
        <f>SUM(AO72:AP72)</f>
        <v>0</v>
      </c>
      <c r="AR72" s="1427"/>
      <c r="AS72" s="1533"/>
      <c r="AT72" s="1427"/>
      <c r="AU72" s="1420"/>
      <c r="AV72" s="1420"/>
      <c r="AW72" s="1420">
        <f>SUM(AU72:AV72)</f>
        <v>0</v>
      </c>
      <c r="AX72" s="1414"/>
      <c r="AY72" s="1408" t="e">
        <f>+AX72/AR72*100</f>
        <v>#DIV/0!</v>
      </c>
      <c r="AZ72" s="1405"/>
      <c r="BA72" s="1408" t="e">
        <f>+AZ72/AT72*100</f>
        <v>#DIV/0!</v>
      </c>
      <c r="BB72" s="1405"/>
      <c r="BC72" s="1408" t="e">
        <f>+BB72/AY72*100</f>
        <v>#DIV/0!</v>
      </c>
      <c r="BD72" s="1389"/>
      <c r="BE72" s="1389"/>
      <c r="BF72" s="1389"/>
      <c r="BG72" s="1389">
        <f>SUM(BD72:BF72)</f>
        <v>0</v>
      </c>
      <c r="BH72" s="1389"/>
      <c r="BI72" s="1389"/>
      <c r="BJ72" s="1389"/>
      <c r="BK72" s="1389"/>
      <c r="BL72" s="1389"/>
      <c r="BM72" s="1389"/>
      <c r="BN72" s="1389"/>
      <c r="BO72" s="1389"/>
      <c r="BP72" s="1389"/>
      <c r="BQ72" s="1389">
        <f>SUM(BN72:BP72)</f>
        <v>0</v>
      </c>
      <c r="BR72" s="1389"/>
      <c r="BS72" s="1389"/>
      <c r="BT72" s="1389"/>
      <c r="BU72" s="1389">
        <f>SUM(BR72:BT72)</f>
        <v>0</v>
      </c>
      <c r="BV72" s="1389"/>
      <c r="BW72" s="1389"/>
      <c r="BX72" s="1389"/>
      <c r="BY72" s="1389">
        <f>SUM(BV72:BX72)</f>
        <v>0</v>
      </c>
      <c r="BZ72" s="1433"/>
      <c r="CA72" s="1402"/>
      <c r="CB72" s="1435" t="e">
        <f>+CA72/BX72*100</f>
        <v>#DIV/0!</v>
      </c>
      <c r="CC72" s="1437"/>
      <c r="CD72" s="1741"/>
      <c r="CE72" s="528"/>
      <c r="CF72" s="528"/>
      <c r="CG72" s="529"/>
      <c r="CH72" s="106" t="s">
        <v>448</v>
      </c>
      <c r="CI72" s="106"/>
      <c r="CJ72" s="106"/>
      <c r="CK72" s="106"/>
      <c r="CL72" s="522"/>
      <c r="CT72" s="68">
        <f>52.38-36.38</f>
        <v>16</v>
      </c>
      <c r="CX72" s="911">
        <f t="shared" si="24"/>
        <v>0</v>
      </c>
      <c r="CY72" s="1010"/>
      <c r="DA72" s="1111"/>
    </row>
    <row r="73" spans="1:106" s="68" customFormat="1" ht="101.25" x14ac:dyDescent="0.2">
      <c r="A73" s="1450"/>
      <c r="C73" s="531"/>
      <c r="D73" s="531"/>
      <c r="E73" s="583"/>
      <c r="F73" s="531"/>
      <c r="G73" s="531"/>
      <c r="H73" s="531"/>
      <c r="I73" s="531"/>
      <c r="J73" s="1475"/>
      <c r="K73" s="1562"/>
      <c r="L73" s="595"/>
      <c r="M73" s="595"/>
      <c r="N73" s="595"/>
      <c r="O73" s="595"/>
      <c r="P73" s="1562"/>
      <c r="Q73" s="1624"/>
      <c r="R73" s="1624"/>
      <c r="S73" s="1624"/>
      <c r="T73" s="1624"/>
      <c r="U73" s="507" t="s">
        <v>765</v>
      </c>
      <c r="V73" s="508" t="s">
        <v>625</v>
      </c>
      <c r="W73" s="425">
        <v>41</v>
      </c>
      <c r="X73" s="425">
        <v>29.37</v>
      </c>
      <c r="Y73" s="1302">
        <v>100</v>
      </c>
      <c r="Z73" s="506" t="s">
        <v>1125</v>
      </c>
      <c r="AA73" s="1156">
        <f>+Y73</f>
        <v>100</v>
      </c>
      <c r="AB73" s="425">
        <v>41</v>
      </c>
      <c r="AC73" s="1328">
        <v>17.91</v>
      </c>
      <c r="AD73" s="223">
        <v>50</v>
      </c>
      <c r="AE73" s="506" t="s">
        <v>1336</v>
      </c>
      <c r="AF73" s="425">
        <v>50</v>
      </c>
      <c r="AG73" s="425">
        <v>41</v>
      </c>
      <c r="AH73" s="425">
        <v>41</v>
      </c>
      <c r="AI73" s="425">
        <v>41</v>
      </c>
      <c r="AJ73" s="223">
        <f>+X73+AC73</f>
        <v>47.28</v>
      </c>
      <c r="AK73" s="424">
        <v>25</v>
      </c>
      <c r="AL73" s="1411"/>
      <c r="AM73" s="1411"/>
      <c r="AN73" s="509"/>
      <c r="AO73" s="1530"/>
      <c r="AP73" s="1530"/>
      <c r="AQ73" s="1530"/>
      <c r="AR73" s="1427"/>
      <c r="AS73" s="1533"/>
      <c r="AT73" s="1427"/>
      <c r="AU73" s="1420"/>
      <c r="AV73" s="1420"/>
      <c r="AW73" s="1420"/>
      <c r="AX73" s="1414"/>
      <c r="AY73" s="1408" t="e">
        <f>+AX73/AR73*100</f>
        <v>#DIV/0!</v>
      </c>
      <c r="AZ73" s="1405"/>
      <c r="BA73" s="1408" t="e">
        <f>+AZ73/AT73*100</f>
        <v>#DIV/0!</v>
      </c>
      <c r="BB73" s="1405"/>
      <c r="BC73" s="1408" t="e">
        <f>+BB73/AY73*100</f>
        <v>#DIV/0!</v>
      </c>
      <c r="BD73" s="1389"/>
      <c r="BE73" s="1389"/>
      <c r="BF73" s="1389"/>
      <c r="BG73" s="1389"/>
      <c r="BH73" s="1389"/>
      <c r="BI73" s="1389"/>
      <c r="BJ73" s="1389"/>
      <c r="BK73" s="1389"/>
      <c r="BL73" s="1389"/>
      <c r="BM73" s="1389"/>
      <c r="BN73" s="1389"/>
      <c r="BO73" s="1389"/>
      <c r="BP73" s="1389"/>
      <c r="BQ73" s="1389"/>
      <c r="BR73" s="1389"/>
      <c r="BS73" s="1389"/>
      <c r="BT73" s="1389"/>
      <c r="BU73" s="1389"/>
      <c r="BV73" s="1389"/>
      <c r="BW73" s="1389"/>
      <c r="BX73" s="1389"/>
      <c r="BY73" s="1389"/>
      <c r="BZ73" s="1433"/>
      <c r="CA73" s="1402"/>
      <c r="CB73" s="1435" t="e">
        <f>+CA73/BX73*100</f>
        <v>#DIV/0!</v>
      </c>
      <c r="CC73" s="1437"/>
      <c r="CD73" s="1741"/>
      <c r="CE73" s="528"/>
      <c r="CF73" s="528"/>
      <c r="CG73" s="529"/>
      <c r="CH73" s="106"/>
      <c r="CI73" s="106"/>
      <c r="CJ73" s="106"/>
      <c r="CK73" s="106"/>
      <c r="CL73" s="522"/>
      <c r="CX73" s="911">
        <f t="shared" si="24"/>
        <v>0</v>
      </c>
      <c r="CY73" s="1010"/>
      <c r="DA73" s="1104" t="s">
        <v>1252</v>
      </c>
    </row>
    <row r="74" spans="1:106" s="68" customFormat="1" ht="78.75" x14ac:dyDescent="0.2">
      <c r="A74" s="1451"/>
      <c r="C74" s="531"/>
      <c r="D74" s="531"/>
      <c r="E74" s="583"/>
      <c r="F74" s="531"/>
      <c r="G74" s="531"/>
      <c r="H74" s="531"/>
      <c r="I74" s="531"/>
      <c r="J74" s="1475"/>
      <c r="K74" s="1562"/>
      <c r="L74" s="596"/>
      <c r="M74" s="596"/>
      <c r="N74" s="596"/>
      <c r="O74" s="596"/>
      <c r="P74" s="1562"/>
      <c r="Q74" s="1624"/>
      <c r="R74" s="1624"/>
      <c r="S74" s="1624"/>
      <c r="T74" s="1624"/>
      <c r="U74" s="751" t="s">
        <v>1111</v>
      </c>
      <c r="V74" s="508" t="s">
        <v>147</v>
      </c>
      <c r="W74" s="425">
        <v>100</v>
      </c>
      <c r="X74" s="425">
        <v>100</v>
      </c>
      <c r="Y74" s="1302">
        <f>(((X74/W74*100)*AL71)/100)</f>
        <v>100</v>
      </c>
      <c r="Z74" s="506" t="s">
        <v>1053</v>
      </c>
      <c r="AA74" s="1156">
        <f>+Y74</f>
        <v>100</v>
      </c>
      <c r="AB74" s="425">
        <v>100</v>
      </c>
      <c r="AC74" s="425">
        <v>100</v>
      </c>
      <c r="AD74" s="223">
        <v>50</v>
      </c>
      <c r="AE74" s="506" t="s">
        <v>1253</v>
      </c>
      <c r="AF74" s="425">
        <v>50</v>
      </c>
      <c r="AG74" s="425">
        <v>300</v>
      </c>
      <c r="AH74" s="425">
        <v>300</v>
      </c>
      <c r="AI74" s="553">
        <v>100</v>
      </c>
      <c r="AJ74" s="1136">
        <f>25+12.5</f>
        <v>37.5</v>
      </c>
      <c r="AK74" s="424">
        <f>+AJ74/AI74*100</f>
        <v>37.5</v>
      </c>
      <c r="AL74" s="1412"/>
      <c r="AM74" s="1412"/>
      <c r="AN74" s="554"/>
      <c r="AO74" s="1531"/>
      <c r="AP74" s="1531"/>
      <c r="AQ74" s="1531">
        <f t="shared" ref="AQ74:AQ79" si="25">SUM(AO74:AP74)</f>
        <v>0</v>
      </c>
      <c r="AR74" s="1428"/>
      <c r="AS74" s="1534"/>
      <c r="AT74" s="1428"/>
      <c r="AU74" s="1421"/>
      <c r="AV74" s="1421"/>
      <c r="AW74" s="1421">
        <f t="shared" ref="AW74:AW79" si="26">SUM(AU74:AV74)</f>
        <v>0</v>
      </c>
      <c r="AX74" s="1415"/>
      <c r="AY74" s="1409" t="e">
        <f>+AX74/AR74*100</f>
        <v>#DIV/0!</v>
      </c>
      <c r="AZ74" s="1406"/>
      <c r="BA74" s="1409" t="e">
        <f>+AZ74/AT74*100</f>
        <v>#DIV/0!</v>
      </c>
      <c r="BB74" s="1406"/>
      <c r="BC74" s="1409" t="e">
        <f>+BB74/AY74*100</f>
        <v>#DIV/0!</v>
      </c>
      <c r="BD74" s="1390"/>
      <c r="BE74" s="1390"/>
      <c r="BF74" s="1390"/>
      <c r="BG74" s="1390">
        <f t="shared" ref="BG74:BG79" si="27">SUM(BD74:BF74)</f>
        <v>0</v>
      </c>
      <c r="BH74" s="1390"/>
      <c r="BI74" s="1390"/>
      <c r="BJ74" s="1390"/>
      <c r="BK74" s="1390"/>
      <c r="BL74" s="1390"/>
      <c r="BM74" s="1390"/>
      <c r="BN74" s="1390"/>
      <c r="BO74" s="1390"/>
      <c r="BP74" s="1390"/>
      <c r="BQ74" s="1390">
        <f t="shared" ref="BQ74:BQ79" si="28">SUM(BN74:BP74)</f>
        <v>0</v>
      </c>
      <c r="BR74" s="1390"/>
      <c r="BS74" s="1390"/>
      <c r="BT74" s="1390"/>
      <c r="BU74" s="1390">
        <f t="shared" ref="BU74:BU79" si="29">SUM(BR74:BT74)</f>
        <v>0</v>
      </c>
      <c r="BV74" s="1390"/>
      <c r="BW74" s="1390"/>
      <c r="BX74" s="1390"/>
      <c r="BY74" s="1390">
        <f t="shared" ref="BY74:BY79" si="30">SUM(BV74:BX74)</f>
        <v>0</v>
      </c>
      <c r="BZ74" s="1440"/>
      <c r="CA74" s="1403"/>
      <c r="CB74" s="1438" t="e">
        <f>+CA74/BX74*100</f>
        <v>#DIV/0!</v>
      </c>
      <c r="CC74" s="1439"/>
      <c r="CD74" s="1742"/>
      <c r="CE74" s="528"/>
      <c r="CF74" s="528"/>
      <c r="CG74" s="529"/>
      <c r="CH74" s="106"/>
      <c r="CI74" s="106"/>
      <c r="CJ74" s="106"/>
      <c r="CK74" s="106"/>
      <c r="CL74" s="518"/>
      <c r="CX74" s="911">
        <f t="shared" si="24"/>
        <v>0</v>
      </c>
      <c r="CY74" s="1010"/>
      <c r="DA74" s="1104" t="s">
        <v>1254</v>
      </c>
    </row>
    <row r="75" spans="1:106" s="830" customFormat="1" ht="157.5" customHeight="1" x14ac:dyDescent="0.2">
      <c r="A75" s="814" t="s">
        <v>52</v>
      </c>
      <c r="C75" s="848"/>
      <c r="D75" s="848"/>
      <c r="E75" s="868"/>
      <c r="F75" s="848"/>
      <c r="G75" s="848"/>
      <c r="H75" s="848"/>
      <c r="I75" s="848"/>
      <c r="J75" s="1138" t="s">
        <v>848</v>
      </c>
      <c r="K75" s="1138"/>
      <c r="L75" s="1209">
        <v>20</v>
      </c>
      <c r="M75" s="1209">
        <v>20</v>
      </c>
      <c r="N75" s="1209">
        <v>20</v>
      </c>
      <c r="O75" s="1209">
        <v>20</v>
      </c>
      <c r="P75" s="1138"/>
      <c r="Q75" s="1227"/>
      <c r="R75" s="1227"/>
      <c r="S75" s="1227"/>
      <c r="T75" s="1227"/>
      <c r="U75" s="1227"/>
      <c r="V75" s="1228"/>
      <c r="W75" s="1229"/>
      <c r="X75" s="1229"/>
      <c r="Y75" s="1139">
        <f>(((Y76)*AL75)/100)</f>
        <v>11.399999999999999</v>
      </c>
      <c r="Z75" s="1139"/>
      <c r="AA75" s="1139">
        <f>((((AA76)/1)*AL75)/100)</f>
        <v>4</v>
      </c>
      <c r="AB75" s="1139"/>
      <c r="AC75" s="1139"/>
      <c r="AD75" s="1139">
        <f>(((AD76)*AM75)/100)</f>
        <v>4.056</v>
      </c>
      <c r="AE75" s="1139"/>
      <c r="AF75" s="1139">
        <f>+AF76</f>
        <v>20.28</v>
      </c>
      <c r="AG75" s="1139"/>
      <c r="AH75" s="1139"/>
      <c r="AI75" s="1139"/>
      <c r="AJ75" s="1139"/>
      <c r="AK75" s="1139">
        <f>((AK76)/1)</f>
        <v>19.32</v>
      </c>
      <c r="AL75" s="1139">
        <f>+L75</f>
        <v>20</v>
      </c>
      <c r="AM75" s="1139">
        <v>20</v>
      </c>
      <c r="AN75" s="1139"/>
      <c r="AO75" s="821">
        <f>+AO76</f>
        <v>223237643</v>
      </c>
      <c r="AP75" s="821">
        <f>+AP76</f>
        <v>0</v>
      </c>
      <c r="AQ75" s="821">
        <f t="shared" si="25"/>
        <v>223237643</v>
      </c>
      <c r="AR75" s="822">
        <f>+AR76</f>
        <v>223237643</v>
      </c>
      <c r="AS75" s="822"/>
      <c r="AT75" s="822">
        <f>+AT76</f>
        <v>223237643</v>
      </c>
      <c r="AU75" s="823">
        <f>+AU76</f>
        <v>223237643</v>
      </c>
      <c r="AV75" s="823">
        <f>+AV76</f>
        <v>0</v>
      </c>
      <c r="AW75" s="823">
        <f t="shared" si="26"/>
        <v>223237643</v>
      </c>
      <c r="AX75" s="824">
        <f>+AX76</f>
        <v>212120993</v>
      </c>
      <c r="AY75" s="825">
        <f>+AX75/AW75*100</f>
        <v>95.02026188298359</v>
      </c>
      <c r="AZ75" s="826">
        <f>+AZ76</f>
        <v>124626644</v>
      </c>
      <c r="BA75" s="825">
        <f>+AZ75/AW75*100</f>
        <v>55.826894750004151</v>
      </c>
      <c r="BB75" s="826">
        <f>+BB76</f>
        <v>124626644</v>
      </c>
      <c r="BC75" s="825">
        <f>+BB75/AW75*100</f>
        <v>55.826894750004151</v>
      </c>
      <c r="BD75" s="947">
        <f>+BD76</f>
        <v>527891456</v>
      </c>
      <c r="BE75" s="947">
        <f>+BE76</f>
        <v>0</v>
      </c>
      <c r="BF75" s="947">
        <f>+BF76</f>
        <v>0</v>
      </c>
      <c r="BG75" s="947">
        <f t="shared" si="27"/>
        <v>527891456</v>
      </c>
      <c r="BH75" s="947">
        <f>+BH76</f>
        <v>509392204</v>
      </c>
      <c r="BI75" s="947">
        <f>+BH75/BG75*100</f>
        <v>96.49563337505505</v>
      </c>
      <c r="BJ75" s="947">
        <f>+BJ76</f>
        <v>9207784</v>
      </c>
      <c r="BK75" s="947">
        <f>+BJ75/BG75*100</f>
        <v>1.7442570618153745</v>
      </c>
      <c r="BL75" s="947">
        <f>+BL76</f>
        <v>9207784</v>
      </c>
      <c r="BM75" s="947">
        <f>+BL75/BG75*100</f>
        <v>1.7442570618153745</v>
      </c>
      <c r="BN75" s="947">
        <f>+BN76</f>
        <v>233880000</v>
      </c>
      <c r="BO75" s="947">
        <f>+BO76</f>
        <v>0</v>
      </c>
      <c r="BP75" s="947">
        <f>+BP76</f>
        <v>0</v>
      </c>
      <c r="BQ75" s="947">
        <f t="shared" si="28"/>
        <v>233880000</v>
      </c>
      <c r="BR75" s="947">
        <f>+BR76</f>
        <v>245079600</v>
      </c>
      <c r="BS75" s="947">
        <f>+BS76</f>
        <v>0</v>
      </c>
      <c r="BT75" s="947">
        <f>+BT76</f>
        <v>0</v>
      </c>
      <c r="BU75" s="947">
        <f t="shared" si="29"/>
        <v>245079600</v>
      </c>
      <c r="BV75" s="947">
        <f>+BV76</f>
        <v>256824348</v>
      </c>
      <c r="BW75" s="947">
        <f>+BW76</f>
        <v>0</v>
      </c>
      <c r="BX75" s="947">
        <f>+BX76</f>
        <v>0</v>
      </c>
      <c r="BY75" s="947">
        <f t="shared" si="30"/>
        <v>256824348</v>
      </c>
      <c r="BZ75" s="948">
        <f>+BZ76</f>
        <v>1253033047</v>
      </c>
      <c r="CA75" s="948">
        <f>+CA76</f>
        <v>721513197</v>
      </c>
      <c r="CB75" s="949">
        <f>+CA75/BZ75*100</f>
        <v>57.581338235846225</v>
      </c>
      <c r="CC75" s="827"/>
      <c r="CD75" s="825"/>
      <c r="CE75" s="828"/>
      <c r="CF75" s="834">
        <f>+BZ76</f>
        <v>1253033047</v>
      </c>
      <c r="CG75" s="829"/>
      <c r="CH75" s="815"/>
      <c r="CI75" s="815"/>
      <c r="CJ75" s="815"/>
      <c r="CK75" s="815"/>
      <c r="CL75" s="821"/>
      <c r="CX75" s="911">
        <f t="shared" si="24"/>
        <v>294011456</v>
      </c>
      <c r="CY75" s="1009"/>
      <c r="DA75" s="1067"/>
    </row>
    <row r="76" spans="1:106" s="68" customFormat="1" ht="202.5" x14ac:dyDescent="0.2">
      <c r="A76" s="16" t="s">
        <v>53</v>
      </c>
      <c r="C76" s="597"/>
      <c r="D76" s="597"/>
      <c r="E76" s="598"/>
      <c r="F76" s="597"/>
      <c r="G76" s="597"/>
      <c r="H76" s="597"/>
      <c r="I76" s="597"/>
      <c r="J76" s="16"/>
      <c r="K76" s="16" t="s">
        <v>547</v>
      </c>
      <c r="L76" s="16"/>
      <c r="M76" s="16"/>
      <c r="N76" s="16"/>
      <c r="O76" s="16"/>
      <c r="P76" s="16" t="s">
        <v>546</v>
      </c>
      <c r="Q76" s="568">
        <v>100</v>
      </c>
      <c r="R76" s="568">
        <v>100</v>
      </c>
      <c r="S76" s="568">
        <v>100</v>
      </c>
      <c r="T76" s="568">
        <v>100</v>
      </c>
      <c r="U76" s="16" t="s">
        <v>770</v>
      </c>
      <c r="V76" s="599" t="s">
        <v>147</v>
      </c>
      <c r="W76" s="425">
        <v>100</v>
      </c>
      <c r="X76" s="425">
        <v>57</v>
      </c>
      <c r="Y76" s="1302">
        <f>(((X76/W76*100)*AL76)/100)</f>
        <v>56.999999999999993</v>
      </c>
      <c r="Z76" s="506" t="s">
        <v>1054</v>
      </c>
      <c r="AA76" s="1156">
        <v>20</v>
      </c>
      <c r="AB76" s="425">
        <v>100</v>
      </c>
      <c r="AC76" s="1328">
        <v>20.28</v>
      </c>
      <c r="AD76" s="223">
        <f>(((AC76/AB76*100)*AM76)/100)</f>
        <v>20.28</v>
      </c>
      <c r="AE76" s="506" t="s">
        <v>1334</v>
      </c>
      <c r="AF76" s="1328">
        <v>20.28</v>
      </c>
      <c r="AG76" s="425">
        <v>100</v>
      </c>
      <c r="AH76" s="425">
        <v>100</v>
      </c>
      <c r="AI76" s="425">
        <v>100</v>
      </c>
      <c r="AJ76" s="223">
        <f>+((X76+AC76)/400)*100</f>
        <v>19.32</v>
      </c>
      <c r="AK76" s="424">
        <f>+AJ76/AI76*100</f>
        <v>19.32</v>
      </c>
      <c r="AL76" s="1310">
        <v>100</v>
      </c>
      <c r="AM76" s="1310">
        <v>100</v>
      </c>
      <c r="AN76" s="506" t="s">
        <v>1271</v>
      </c>
      <c r="AO76" s="183">
        <f>199237643+24000000</f>
        <v>223237643</v>
      </c>
      <c r="AP76" s="183"/>
      <c r="AQ76" s="183">
        <f t="shared" si="25"/>
        <v>223237643</v>
      </c>
      <c r="AR76" s="581">
        <v>223237643</v>
      </c>
      <c r="AS76" s="411"/>
      <c r="AT76" s="411">
        <f>+AR76+AS76</f>
        <v>223237643</v>
      </c>
      <c r="AU76" s="709">
        <v>223237643</v>
      </c>
      <c r="AV76" s="710"/>
      <c r="AW76" s="710">
        <f t="shared" si="26"/>
        <v>223237643</v>
      </c>
      <c r="AX76" s="778">
        <v>212120993</v>
      </c>
      <c r="AY76" s="676">
        <f>+AX76/AW76*100</f>
        <v>95.02026188298359</v>
      </c>
      <c r="AZ76" s="672">
        <v>124626644</v>
      </c>
      <c r="BA76" s="676">
        <f>+AZ76/AW76*100</f>
        <v>55.826894750004151</v>
      </c>
      <c r="BB76" s="672">
        <v>124626644</v>
      </c>
      <c r="BC76" s="676">
        <f>+BB76/AW76*100</f>
        <v>55.826894750004151</v>
      </c>
      <c r="BD76" s="1079">
        <v>527891456</v>
      </c>
      <c r="BE76" s="1031"/>
      <c r="BF76" s="1031"/>
      <c r="BG76" s="1031">
        <f t="shared" si="27"/>
        <v>527891456</v>
      </c>
      <c r="BH76" s="1079">
        <v>509392204</v>
      </c>
      <c r="BI76" s="1031">
        <f>+BH76/BG76*100</f>
        <v>96.49563337505505</v>
      </c>
      <c r="BJ76" s="1079">
        <v>9207784</v>
      </c>
      <c r="BK76" s="1031">
        <f>+BJ76/BG76*100</f>
        <v>1.7442570618153745</v>
      </c>
      <c r="BL76" s="1079">
        <v>9207784</v>
      </c>
      <c r="BM76" s="964">
        <f>+BL76/BG76*100</f>
        <v>1.7442570618153745</v>
      </c>
      <c r="BN76" s="964">
        <v>233880000</v>
      </c>
      <c r="BO76" s="964"/>
      <c r="BP76" s="964"/>
      <c r="BQ76" s="964">
        <f t="shared" si="28"/>
        <v>233880000</v>
      </c>
      <c r="BR76" s="964">
        <v>245079600</v>
      </c>
      <c r="BS76" s="964"/>
      <c r="BT76" s="964"/>
      <c r="BU76" s="964">
        <f t="shared" si="29"/>
        <v>245079600</v>
      </c>
      <c r="BV76" s="964">
        <v>256824348</v>
      </c>
      <c r="BW76" s="964"/>
      <c r="BX76" s="964"/>
      <c r="BY76" s="964">
        <f t="shared" si="30"/>
        <v>256824348</v>
      </c>
      <c r="BZ76" s="967">
        <f>+AW76+BG76+BU76+BY76</f>
        <v>1253033047</v>
      </c>
      <c r="CA76" s="967">
        <f>+BH76+AX76</f>
        <v>721513197</v>
      </c>
      <c r="CB76" s="966">
        <f>+CA76/BZ76*100</f>
        <v>57.581338235846225</v>
      </c>
      <c r="CC76" s="910"/>
      <c r="CD76" s="1071" t="s">
        <v>1188</v>
      </c>
      <c r="CE76" s="528"/>
      <c r="CF76" s="528"/>
      <c r="CG76" s="529"/>
      <c r="CH76" s="64" t="s">
        <v>176</v>
      </c>
      <c r="CI76" s="64"/>
      <c r="CJ76" s="64"/>
      <c r="CK76" s="64"/>
      <c r="CL76" s="183"/>
      <c r="CX76" s="911">
        <f t="shared" si="24"/>
        <v>294011456</v>
      </c>
      <c r="CY76" s="1016"/>
      <c r="CZ76" s="1020"/>
      <c r="DA76" s="1130">
        <f>21.5/106*100</f>
        <v>20.283018867924529</v>
      </c>
    </row>
    <row r="77" spans="1:106" s="1" customFormat="1" ht="103.9" customHeight="1" x14ac:dyDescent="0.2">
      <c r="A77" s="315"/>
      <c r="C77" s="303" t="s">
        <v>667</v>
      </c>
      <c r="D77" s="315" t="s">
        <v>672</v>
      </c>
      <c r="E77" s="289" t="s">
        <v>828</v>
      </c>
      <c r="F77" s="309">
        <v>15</v>
      </c>
      <c r="G77" s="309">
        <v>15</v>
      </c>
      <c r="H77" s="309">
        <v>15</v>
      </c>
      <c r="I77" s="309">
        <v>15</v>
      </c>
      <c r="J77" s="1174"/>
      <c r="K77" s="1161"/>
      <c r="L77" s="1161"/>
      <c r="M77" s="1161"/>
      <c r="N77" s="1161"/>
      <c r="O77" s="1161"/>
      <c r="P77" s="1161"/>
      <c r="Q77" s="1162"/>
      <c r="R77" s="1162"/>
      <c r="S77" s="1162"/>
      <c r="T77" s="1162"/>
      <c r="U77" s="1161"/>
      <c r="V77" s="1170"/>
      <c r="W77" s="1175"/>
      <c r="X77" s="1175"/>
      <c r="Y77" s="1176">
        <f>(((+Y78+Y87+Y94)*AL77)/100)</f>
        <v>11.952925</v>
      </c>
      <c r="Z77" s="1177"/>
      <c r="AA77" s="1178">
        <f>(((AA78+AA87+AA94)*AL77)/100)</f>
        <v>4.4169374999999995</v>
      </c>
      <c r="AB77" s="1175"/>
      <c r="AC77" s="1175"/>
      <c r="AD77" s="1179">
        <f>(((+AD78+AD87+AD94)*AM77)/100)</f>
        <v>0.17499999999999996</v>
      </c>
      <c r="AE77" s="1175"/>
      <c r="AF77" s="1179">
        <f>(+AF78+AF87+AF94)/3</f>
        <v>48.208333333333336</v>
      </c>
      <c r="AG77" s="1175"/>
      <c r="AH77" s="1175"/>
      <c r="AI77" s="1180"/>
      <c r="AJ77" s="1181"/>
      <c r="AK77" s="1178">
        <f>((AK78+AK87+AK94)/3)</f>
        <v>33.128072390572392</v>
      </c>
      <c r="AL77" s="1178">
        <f>+F77</f>
        <v>15</v>
      </c>
      <c r="AM77" s="1178">
        <v>15</v>
      </c>
      <c r="AN77" s="1166"/>
      <c r="AO77" s="318">
        <f>+AO78+AO87+AO94</f>
        <v>2722000000</v>
      </c>
      <c r="AP77" s="318">
        <f>+AP78+AP87+AP94</f>
        <v>0</v>
      </c>
      <c r="AQ77" s="318">
        <f t="shared" si="25"/>
        <v>2722000000</v>
      </c>
      <c r="AR77" s="407">
        <f>+AR78+AR87+AR94</f>
        <v>3491691605</v>
      </c>
      <c r="AS77" s="407"/>
      <c r="AT77" s="407">
        <f>+AT78+AT87+AT94</f>
        <v>3491691605</v>
      </c>
      <c r="AU77" s="704">
        <f>+AU78+AU87+AU94</f>
        <v>4149743581</v>
      </c>
      <c r="AV77" s="704">
        <f>+AV78+AV87+AV94</f>
        <v>0</v>
      </c>
      <c r="AW77" s="704">
        <f t="shared" si="26"/>
        <v>4149743581</v>
      </c>
      <c r="AX77" s="717">
        <f>+AX78+AX87+AX94</f>
        <v>3254520425</v>
      </c>
      <c r="AY77" s="661">
        <f>+AX77/AW77*100</f>
        <v>78.427024741989712</v>
      </c>
      <c r="AZ77" s="662">
        <f>+AZ78+AZ87+AZ94</f>
        <v>1360383749</v>
      </c>
      <c r="BA77" s="661">
        <f>+AZ77/AW77*100</f>
        <v>32.782356847990506</v>
      </c>
      <c r="BB77" s="662">
        <f>+BB78+BB87+BB94</f>
        <v>1316193003</v>
      </c>
      <c r="BC77" s="661">
        <f>+BB77/AW77*100</f>
        <v>31.71745379705667</v>
      </c>
      <c r="BD77" s="944">
        <f>+BD78+BD87+BD94</f>
        <v>1440384620</v>
      </c>
      <c r="BE77" s="944">
        <f>+BE78+BE87+BE94</f>
        <v>0</v>
      </c>
      <c r="BF77" s="944">
        <f>+BF78+BF87+BF94</f>
        <v>203473056</v>
      </c>
      <c r="BG77" s="944">
        <f t="shared" si="27"/>
        <v>1643857676</v>
      </c>
      <c r="BH77" s="944">
        <f>+BH78+BH87+BH94</f>
        <v>732090266</v>
      </c>
      <c r="BI77" s="944">
        <f>+BH77/BG77*100</f>
        <v>44.53489354269378</v>
      </c>
      <c r="BJ77" s="944">
        <f>+BJ78+BJ87+BJ94</f>
        <v>77772614</v>
      </c>
      <c r="BK77" s="944">
        <f>+BJ77/BG77*100</f>
        <v>4.7311038623029793</v>
      </c>
      <c r="BL77" s="944">
        <f>+BL78+BL87+BL94</f>
        <v>77772614</v>
      </c>
      <c r="BM77" s="944">
        <f>+BL77/BG77*100</f>
        <v>4.7311038623029793</v>
      </c>
      <c r="BN77" s="944">
        <f>+BN78+BN87+BN94</f>
        <v>1440384620</v>
      </c>
      <c r="BO77" s="944">
        <f>+BO78+BO87+BO94</f>
        <v>0</v>
      </c>
      <c r="BP77" s="944">
        <f>+BP78+BP87+BP94</f>
        <v>476976410</v>
      </c>
      <c r="BQ77" s="944">
        <f t="shared" si="28"/>
        <v>1917361030</v>
      </c>
      <c r="BR77" s="944">
        <f>+BR78+BR87+BR94</f>
        <v>1569000000</v>
      </c>
      <c r="BS77" s="944">
        <f>+BS78+BS87+BS94</f>
        <v>0</v>
      </c>
      <c r="BT77" s="944">
        <f>+BT78+BT87+BT94</f>
        <v>0</v>
      </c>
      <c r="BU77" s="944">
        <f t="shared" si="29"/>
        <v>1569000000</v>
      </c>
      <c r="BV77" s="944">
        <f>+BV78+BV87+BV94</f>
        <v>1349230780</v>
      </c>
      <c r="BW77" s="944">
        <f>+BW78+BW87+BW94</f>
        <v>0</v>
      </c>
      <c r="BX77" s="944">
        <f>+BX78+BX87+BX94</f>
        <v>0</v>
      </c>
      <c r="BY77" s="944">
        <f t="shared" si="30"/>
        <v>1349230780</v>
      </c>
      <c r="BZ77" s="965">
        <f>+BZ78+BZ87+BZ94</f>
        <v>8711832037</v>
      </c>
      <c r="CA77" s="965">
        <f>+CA78+CA87+CA94</f>
        <v>3986610691</v>
      </c>
      <c r="CB77" s="946">
        <f>+CA77/BZ77*100</f>
        <v>45.760876404279557</v>
      </c>
      <c r="CC77" s="698"/>
      <c r="CD77" s="661"/>
      <c r="CE77" s="334" t="e">
        <f>+BZ77/#REF!*100</f>
        <v>#REF!</v>
      </c>
      <c r="CF77" s="198"/>
      <c r="CG77" s="238"/>
      <c r="CH77" s="7"/>
      <c r="CI77" s="7"/>
      <c r="CJ77" s="7"/>
      <c r="CL77" s="197"/>
      <c r="CX77" s="911">
        <f t="shared" si="24"/>
        <v>0</v>
      </c>
      <c r="CY77" s="1008"/>
      <c r="DA77" s="1066"/>
    </row>
    <row r="78" spans="1:106" s="830" customFormat="1" ht="45" x14ac:dyDescent="0.2">
      <c r="A78" s="814" t="s">
        <v>55</v>
      </c>
      <c r="C78" s="869"/>
      <c r="D78" s="869"/>
      <c r="E78" s="816"/>
      <c r="F78" s="869"/>
      <c r="G78" s="869"/>
      <c r="H78" s="869"/>
      <c r="I78" s="869"/>
      <c r="J78" s="1138" t="s">
        <v>829</v>
      </c>
      <c r="K78" s="1138"/>
      <c r="L78" s="1209">
        <v>35</v>
      </c>
      <c r="M78" s="1209">
        <v>35</v>
      </c>
      <c r="N78" s="1209">
        <v>35</v>
      </c>
      <c r="O78" s="1209">
        <v>35</v>
      </c>
      <c r="P78" s="1138"/>
      <c r="Q78" s="1262"/>
      <c r="R78" s="1262"/>
      <c r="S78" s="1262"/>
      <c r="T78" s="1262"/>
      <c r="U78" s="1262"/>
      <c r="V78" s="1263"/>
      <c r="W78" s="1264"/>
      <c r="X78" s="1264"/>
      <c r="Y78" s="1139">
        <f>((((Y79+Y81+((+Y82+Y83)/2)+Y86)*AL78)/100))</f>
        <v>24.5</v>
      </c>
      <c r="Z78" s="1265"/>
      <c r="AA78" s="1139">
        <f>((((AA79+AA81+AA82+AA83+AA86)/5)*AL78)/100)</f>
        <v>12.04</v>
      </c>
      <c r="AB78" s="1265"/>
      <c r="AC78" s="1265"/>
      <c r="AD78" s="1139">
        <f>((((AD79+AD81+((+AD82+AD83)+AD84+AD85/4)+AD86)*AM78)/100))</f>
        <v>1.1666666666666665</v>
      </c>
      <c r="AE78" s="1265"/>
      <c r="AF78" s="1139">
        <f>(AF79+AF81+AF83+AF84+AF85)/5</f>
        <v>64</v>
      </c>
      <c r="AG78" s="1265"/>
      <c r="AH78" s="1265"/>
      <c r="AI78" s="1265"/>
      <c r="AJ78" s="1265"/>
      <c r="AK78" s="1139">
        <f>((AK79+AK81+AK82+AK83+AK86)/5)</f>
        <v>50</v>
      </c>
      <c r="AL78" s="1139">
        <f>+L78</f>
        <v>35</v>
      </c>
      <c r="AM78" s="1139">
        <v>35</v>
      </c>
      <c r="AN78" s="1265"/>
      <c r="AO78" s="821">
        <f>SUM(AO79:AO86)</f>
        <v>812000000</v>
      </c>
      <c r="AP78" s="821">
        <f>SUM(AP79:AP86)</f>
        <v>0</v>
      </c>
      <c r="AQ78" s="821">
        <f t="shared" si="25"/>
        <v>812000000</v>
      </c>
      <c r="AR78" s="822">
        <f>SUM(AR79:AR86)</f>
        <v>1049948000</v>
      </c>
      <c r="AS78" s="822"/>
      <c r="AT78" s="822">
        <f>SUM(AT79:AT86)</f>
        <v>1049948000</v>
      </c>
      <c r="AU78" s="823">
        <f>SUM(AU79:AU86)</f>
        <v>1125620000</v>
      </c>
      <c r="AV78" s="823">
        <f>SUM(AV79:AV86)</f>
        <v>0</v>
      </c>
      <c r="AW78" s="823">
        <f t="shared" si="26"/>
        <v>1125620000</v>
      </c>
      <c r="AX78" s="824">
        <f>SUM(AX79:AX86)</f>
        <v>1030317594</v>
      </c>
      <c r="AY78" s="825">
        <f>+AX78/AW78*100</f>
        <v>91.533341092020393</v>
      </c>
      <c r="AZ78" s="826">
        <f>SUM(AZ79:AZ86)</f>
        <v>608974905</v>
      </c>
      <c r="BA78" s="825">
        <f>+AZ78/AW78*100</f>
        <v>54.101286846360232</v>
      </c>
      <c r="BB78" s="826">
        <f>SUM(BB79:BB86)</f>
        <v>575559922</v>
      </c>
      <c r="BC78" s="825">
        <f>+BB78/AW78*100</f>
        <v>51.132702155256659</v>
      </c>
      <c r="BD78" s="947">
        <f>SUM(BD79:BD86)</f>
        <v>380000000</v>
      </c>
      <c r="BE78" s="947">
        <f>SUM(BE79:BE86)</f>
        <v>0</v>
      </c>
      <c r="BF78" s="947">
        <f>SUM(BF79:BF86)</f>
        <v>27606133</v>
      </c>
      <c r="BG78" s="947">
        <f t="shared" si="27"/>
        <v>407606133</v>
      </c>
      <c r="BH78" s="947">
        <f>SUM(BH79:BH86)</f>
        <v>189270394</v>
      </c>
      <c r="BI78" s="947">
        <f>+BH78/BG78*100</f>
        <v>46.434628597700708</v>
      </c>
      <c r="BJ78" s="947">
        <f>SUM(BJ79:BJ86)</f>
        <v>38893824</v>
      </c>
      <c r="BK78" s="947">
        <f>+BJ78/BG78*100</f>
        <v>9.542011479007849</v>
      </c>
      <c r="BL78" s="947">
        <f>SUM(BL79:BL86)</f>
        <v>38893824</v>
      </c>
      <c r="BM78" s="947">
        <f>+BL78/BG78*100</f>
        <v>9.542011479007849</v>
      </c>
      <c r="BN78" s="947">
        <f>SUM(BN79:BN86)</f>
        <v>380000000</v>
      </c>
      <c r="BO78" s="947">
        <f>SUM(BO79:BO86)</f>
        <v>0</v>
      </c>
      <c r="BP78" s="947">
        <f>SUM(BP79:BP86)</f>
        <v>0</v>
      </c>
      <c r="BQ78" s="947">
        <f t="shared" si="28"/>
        <v>380000000</v>
      </c>
      <c r="BR78" s="947">
        <f>SUM(BR79:BR86)</f>
        <v>370000000</v>
      </c>
      <c r="BS78" s="947">
        <f>SUM(BS79:BS86)</f>
        <v>0</v>
      </c>
      <c r="BT78" s="947">
        <f>SUM(BT79:BT86)</f>
        <v>0</v>
      </c>
      <c r="BU78" s="947">
        <f t="shared" si="29"/>
        <v>370000000</v>
      </c>
      <c r="BV78" s="947">
        <f>SUM(BV79:BV86)</f>
        <v>360000000</v>
      </c>
      <c r="BW78" s="947">
        <f>SUM(BW79:BW86)</f>
        <v>0</v>
      </c>
      <c r="BX78" s="947">
        <f>SUM(BX79:BX86)</f>
        <v>0</v>
      </c>
      <c r="BY78" s="947">
        <f t="shared" si="30"/>
        <v>360000000</v>
      </c>
      <c r="BZ78" s="948">
        <f>SUM(BZ79:BZ86)</f>
        <v>2263226133</v>
      </c>
      <c r="CA78" s="948">
        <f>SUM(CA79:CA86)</f>
        <v>1219587988</v>
      </c>
      <c r="CB78" s="949">
        <f>+CA78/BZ78*100</f>
        <v>53.887146768820024</v>
      </c>
      <c r="CC78" s="827"/>
      <c r="CD78" s="825"/>
      <c r="CE78" s="828"/>
      <c r="CF78" s="834">
        <f>SUM(BZ79:BZ86)</f>
        <v>2263226133</v>
      </c>
      <c r="CG78" s="845">
        <v>237948000</v>
      </c>
      <c r="CH78" s="870"/>
      <c r="CI78" s="846"/>
      <c r="CJ78" s="846"/>
      <c r="CL78" s="821"/>
      <c r="CX78" s="911">
        <f t="shared" si="24"/>
        <v>0</v>
      </c>
      <c r="CY78" s="1009"/>
      <c r="DA78" s="1067"/>
    </row>
    <row r="79" spans="1:106" s="68" customFormat="1" ht="193.5" customHeight="1" x14ac:dyDescent="0.2">
      <c r="A79" s="16" t="s">
        <v>56</v>
      </c>
      <c r="C79" s="525"/>
      <c r="D79" s="525"/>
      <c r="E79" s="524"/>
      <c r="F79" s="525"/>
      <c r="G79" s="525"/>
      <c r="H79" s="525"/>
      <c r="I79" s="525"/>
      <c r="J79" s="600"/>
      <c r="K79" s="1521" t="s">
        <v>816</v>
      </c>
      <c r="L79" s="1461"/>
      <c r="M79" s="1461"/>
      <c r="N79" s="1461"/>
      <c r="O79" s="1461"/>
      <c r="P79" s="1449" t="s">
        <v>494</v>
      </c>
      <c r="Q79" s="1442">
        <v>30</v>
      </c>
      <c r="R79" s="1442">
        <v>15</v>
      </c>
      <c r="S79" s="1442">
        <v>20</v>
      </c>
      <c r="T79" s="1442"/>
      <c r="U79" s="16" t="s">
        <v>733</v>
      </c>
      <c r="V79" s="737" t="s">
        <v>137</v>
      </c>
      <c r="W79" s="223">
        <v>1</v>
      </c>
      <c r="X79" s="223">
        <v>0</v>
      </c>
      <c r="Y79" s="1302">
        <f>(((X79/W79*100)*AL79)/100)</f>
        <v>0</v>
      </c>
      <c r="Z79" s="1121" t="s">
        <v>1055</v>
      </c>
      <c r="AA79" s="1302">
        <v>80</v>
      </c>
      <c r="AB79" s="223">
        <v>1</v>
      </c>
      <c r="AC79" s="223">
        <v>0</v>
      </c>
      <c r="AD79" s="223">
        <f>(((AC79/AB79*100)*AM79)/100)</f>
        <v>0</v>
      </c>
      <c r="AE79" s="1121" t="s">
        <v>1277</v>
      </c>
      <c r="AF79" s="223">
        <v>70</v>
      </c>
      <c r="AG79" s="223"/>
      <c r="AH79" s="223"/>
      <c r="AI79" s="553">
        <f>+W79+AB79+AG79+AH79</f>
        <v>2</v>
      </c>
      <c r="AJ79" s="223">
        <f>+X79+AC79</f>
        <v>0</v>
      </c>
      <c r="AK79" s="424">
        <f t="shared" ref="AK79:AK86" si="31">+AJ79/AI79*100</f>
        <v>0</v>
      </c>
      <c r="AL79" s="1310">
        <v>30</v>
      </c>
      <c r="AM79" s="1310">
        <v>15</v>
      </c>
      <c r="AN79" s="506" t="s">
        <v>836</v>
      </c>
      <c r="AO79" s="1422">
        <v>130000000</v>
      </c>
      <c r="AP79" s="1422"/>
      <c r="AQ79" s="1422">
        <f t="shared" si="25"/>
        <v>130000000</v>
      </c>
      <c r="AR79" s="1621">
        <v>166649341</v>
      </c>
      <c r="AS79" s="1426"/>
      <c r="AT79" s="1426">
        <f>+AR79+AS79</f>
        <v>166649341</v>
      </c>
      <c r="AU79" s="1622">
        <v>166649341</v>
      </c>
      <c r="AV79" s="1419"/>
      <c r="AW79" s="1419">
        <f t="shared" si="26"/>
        <v>166649341</v>
      </c>
      <c r="AX79" s="1429">
        <v>155968986</v>
      </c>
      <c r="AY79" s="1597">
        <f>+AX79/AW79*100</f>
        <v>93.591120771368665</v>
      </c>
      <c r="AZ79" s="1613">
        <v>155305044</v>
      </c>
      <c r="BA79" s="1597">
        <f>+AZ79/AW79*100</f>
        <v>93.192714155407302</v>
      </c>
      <c r="BB79" s="1516">
        <v>152062061</v>
      </c>
      <c r="BC79" s="1597">
        <f>+BB79/AW79*100</f>
        <v>91.246722061745217</v>
      </c>
      <c r="BD79" s="1395">
        <v>60000000</v>
      </c>
      <c r="BE79" s="1395"/>
      <c r="BF79" s="1395"/>
      <c r="BG79" s="1395">
        <f t="shared" si="27"/>
        <v>60000000</v>
      </c>
      <c r="BH79" s="1079">
        <v>35695424</v>
      </c>
      <c r="BI79" s="1031">
        <f>+BH79/BG79*100</f>
        <v>59.49237333333334</v>
      </c>
      <c r="BJ79" s="1079">
        <v>13618356</v>
      </c>
      <c r="BK79" s="1031">
        <f>+BJ79/BG79*100</f>
        <v>22.69726</v>
      </c>
      <c r="BL79" s="1079">
        <v>13618356</v>
      </c>
      <c r="BM79" s="950">
        <f>+BL79/BG79*100</f>
        <v>22.69726</v>
      </c>
      <c r="BN79" s="1388">
        <v>60000000</v>
      </c>
      <c r="BO79" s="1388"/>
      <c r="BP79" s="1388"/>
      <c r="BQ79" s="1388">
        <f t="shared" si="28"/>
        <v>60000000</v>
      </c>
      <c r="BR79" s="1388">
        <v>50000000</v>
      </c>
      <c r="BS79" s="1388"/>
      <c r="BT79" s="1388"/>
      <c r="BU79" s="1388">
        <f t="shared" si="29"/>
        <v>50000000</v>
      </c>
      <c r="BV79" s="1388"/>
      <c r="BW79" s="1388"/>
      <c r="BX79" s="1388"/>
      <c r="BY79" s="1388">
        <f t="shared" si="30"/>
        <v>0</v>
      </c>
      <c r="BZ79" s="1401">
        <f>+AW79+BG79+BU79+BY79</f>
        <v>276649341</v>
      </c>
      <c r="CA79" s="1480">
        <f>+BH79+AX79</f>
        <v>191664410</v>
      </c>
      <c r="CB79" s="1594">
        <f>+CA79/BZ79*100</f>
        <v>69.280631324547414</v>
      </c>
      <c r="CC79" s="1615" t="s">
        <v>893</v>
      </c>
      <c r="CD79" s="1597"/>
      <c r="CE79" s="528"/>
      <c r="CF79" s="528"/>
      <c r="CG79" s="529"/>
      <c r="CH79" s="64"/>
      <c r="CI79" s="64"/>
      <c r="CJ79" s="64"/>
      <c r="CL79" s="251"/>
      <c r="CX79" s="911">
        <f t="shared" si="24"/>
        <v>0</v>
      </c>
      <c r="CY79" s="1010"/>
      <c r="DA79" s="1068"/>
    </row>
    <row r="80" spans="1:106" s="68" customFormat="1" ht="64.150000000000006" hidden="1" customHeight="1" x14ac:dyDescent="0.2">
      <c r="A80" s="16"/>
      <c r="C80" s="525"/>
      <c r="D80" s="525"/>
      <c r="E80" s="524"/>
      <c r="F80" s="525"/>
      <c r="G80" s="525"/>
      <c r="H80" s="525"/>
      <c r="I80" s="525"/>
      <c r="J80" s="600"/>
      <c r="K80" s="1475"/>
      <c r="L80" s="1463"/>
      <c r="M80" s="1463"/>
      <c r="N80" s="1463"/>
      <c r="O80" s="1463"/>
      <c r="P80" s="1451"/>
      <c r="Q80" s="1444"/>
      <c r="R80" s="1444"/>
      <c r="S80" s="1444"/>
      <c r="T80" s="1444"/>
      <c r="U80" s="16" t="s">
        <v>760</v>
      </c>
      <c r="V80" s="737" t="s">
        <v>147</v>
      </c>
      <c r="W80" s="223"/>
      <c r="X80" s="223"/>
      <c r="Y80" s="1302"/>
      <c r="Z80" s="1121"/>
      <c r="AA80" s="1302"/>
      <c r="AB80" s="223"/>
      <c r="AC80" s="223"/>
      <c r="AD80" s="223"/>
      <c r="AE80" s="1303"/>
      <c r="AF80" s="223"/>
      <c r="AG80" s="223">
        <v>100</v>
      </c>
      <c r="AH80" s="223"/>
      <c r="AI80" s="553">
        <f>+W80+AB80+AG80+AH80</f>
        <v>100</v>
      </c>
      <c r="AJ80" s="1156"/>
      <c r="AK80" s="424">
        <f t="shared" si="31"/>
        <v>0</v>
      </c>
      <c r="AL80" s="1310"/>
      <c r="AM80" s="1310"/>
      <c r="AN80" s="509" t="s">
        <v>734</v>
      </c>
      <c r="AO80" s="1423"/>
      <c r="AP80" s="1423"/>
      <c r="AQ80" s="1423"/>
      <c r="AR80" s="1621"/>
      <c r="AS80" s="1428"/>
      <c r="AT80" s="1428"/>
      <c r="AU80" s="1622"/>
      <c r="AV80" s="1421"/>
      <c r="AW80" s="1421"/>
      <c r="AX80" s="1430"/>
      <c r="AY80" s="1597"/>
      <c r="AZ80" s="1614"/>
      <c r="BA80" s="1597"/>
      <c r="BB80" s="1518"/>
      <c r="BC80" s="1597"/>
      <c r="BD80" s="1395"/>
      <c r="BE80" s="1395"/>
      <c r="BF80" s="1395"/>
      <c r="BG80" s="1395"/>
      <c r="BH80" s="1031"/>
      <c r="BI80" s="1031"/>
      <c r="BJ80" s="1034"/>
      <c r="BK80" s="1031"/>
      <c r="BL80" s="1034"/>
      <c r="BM80" s="978"/>
      <c r="BN80" s="1390"/>
      <c r="BO80" s="1390"/>
      <c r="BP80" s="1390"/>
      <c r="BQ80" s="1390"/>
      <c r="BR80" s="1390"/>
      <c r="BS80" s="1390"/>
      <c r="BT80" s="1390"/>
      <c r="BU80" s="1390"/>
      <c r="BV80" s="1390"/>
      <c r="BW80" s="1390"/>
      <c r="BX80" s="1390"/>
      <c r="BY80" s="1390"/>
      <c r="BZ80" s="1403"/>
      <c r="CA80" s="1482"/>
      <c r="CB80" s="1594"/>
      <c r="CC80" s="1616"/>
      <c r="CD80" s="1597"/>
      <c r="CE80" s="528"/>
      <c r="CF80" s="528"/>
      <c r="CG80" s="529"/>
      <c r="CH80" s="64"/>
      <c r="CI80" s="64"/>
      <c r="CJ80" s="64"/>
      <c r="CL80" s="252"/>
      <c r="CX80" s="911">
        <f t="shared" si="24"/>
        <v>0</v>
      </c>
      <c r="CY80" s="1010"/>
      <c r="DA80" s="1068"/>
    </row>
    <row r="81" spans="1:106" s="68" customFormat="1" ht="187.5" customHeight="1" x14ac:dyDescent="0.2">
      <c r="A81" s="20" t="s">
        <v>57</v>
      </c>
      <c r="C81" s="525"/>
      <c r="D81" s="525"/>
      <c r="E81" s="524"/>
      <c r="F81" s="525"/>
      <c r="G81" s="525"/>
      <c r="H81" s="525"/>
      <c r="I81" s="525"/>
      <c r="J81" s="600"/>
      <c r="K81" s="1475"/>
      <c r="L81" s="546"/>
      <c r="M81" s="546"/>
      <c r="N81" s="546"/>
      <c r="O81" s="546"/>
      <c r="P81" s="752" t="s">
        <v>496</v>
      </c>
      <c r="Q81" s="568">
        <v>15</v>
      </c>
      <c r="R81" s="568">
        <v>15</v>
      </c>
      <c r="S81" s="568">
        <v>20</v>
      </c>
      <c r="T81" s="568">
        <v>30</v>
      </c>
      <c r="U81" s="16" t="s">
        <v>761</v>
      </c>
      <c r="V81" s="599" t="s">
        <v>147</v>
      </c>
      <c r="W81" s="425">
        <v>25</v>
      </c>
      <c r="X81" s="425">
        <v>25</v>
      </c>
      <c r="Y81" s="1302">
        <f>(((X81/W81*100)*AL81)/100)</f>
        <v>15</v>
      </c>
      <c r="Z81" s="506" t="s">
        <v>1056</v>
      </c>
      <c r="AA81" s="1156">
        <v>32</v>
      </c>
      <c r="AB81" s="425">
        <v>25</v>
      </c>
      <c r="AC81" s="425">
        <v>0</v>
      </c>
      <c r="AD81" s="223">
        <f>(((AC81/AB81*100)*AM81)/100)</f>
        <v>0</v>
      </c>
      <c r="AE81" s="506" t="s">
        <v>1278</v>
      </c>
      <c r="AF81" s="425">
        <v>50</v>
      </c>
      <c r="AG81" s="425">
        <v>25</v>
      </c>
      <c r="AH81" s="425">
        <v>25</v>
      </c>
      <c r="AI81" s="425">
        <v>25</v>
      </c>
      <c r="AJ81" s="223">
        <f>+X81+AC81/4</f>
        <v>25</v>
      </c>
      <c r="AK81" s="424">
        <v>25</v>
      </c>
      <c r="AL81" s="1310">
        <v>15</v>
      </c>
      <c r="AM81" s="1310">
        <v>15</v>
      </c>
      <c r="AN81" s="506" t="s">
        <v>735</v>
      </c>
      <c r="AO81" s="183">
        <v>70000000</v>
      </c>
      <c r="AP81" s="183"/>
      <c r="AQ81" s="183">
        <f>SUM(AO81:AP81)</f>
        <v>70000000</v>
      </c>
      <c r="AR81" s="581">
        <v>70000000</v>
      </c>
      <c r="AS81" s="411"/>
      <c r="AT81" s="601">
        <f>+AR81+AS81</f>
        <v>70000000</v>
      </c>
      <c r="AU81" s="709">
        <v>70000000</v>
      </c>
      <c r="AV81" s="710"/>
      <c r="AW81" s="710">
        <f>SUM(AU81:AV81)</f>
        <v>70000000</v>
      </c>
      <c r="AX81" s="778">
        <v>70000000</v>
      </c>
      <c r="AY81" s="681">
        <f>+AX81/AW81*100</f>
        <v>100</v>
      </c>
      <c r="AZ81" s="672">
        <v>17430279</v>
      </c>
      <c r="BA81" s="681">
        <f>+AZ81/AW81*100</f>
        <v>24.900398571428571</v>
      </c>
      <c r="BB81" s="672">
        <v>17430279</v>
      </c>
      <c r="BC81" s="681">
        <f>+BB81/AW81*100</f>
        <v>24.900398571428571</v>
      </c>
      <c r="BD81" s="1031">
        <v>50000000</v>
      </c>
      <c r="BE81" s="1031"/>
      <c r="BF81" s="1031"/>
      <c r="BG81" s="1031">
        <f t="shared" ref="BG81:BG87" si="32">SUM(BD81:BF81)</f>
        <v>50000000</v>
      </c>
      <c r="BH81" s="1079">
        <v>44857098</v>
      </c>
      <c r="BI81" s="1031">
        <f>+BH81/BG81*100</f>
        <v>89.714196000000001</v>
      </c>
      <c r="BJ81" s="1079">
        <v>4434000</v>
      </c>
      <c r="BK81" s="1031">
        <f>+BJ81/BG81*100</f>
        <v>8.8680000000000003</v>
      </c>
      <c r="BL81" s="1034">
        <v>4434000</v>
      </c>
      <c r="BM81" s="986">
        <f>+BL81/BG81*100</f>
        <v>8.8680000000000003</v>
      </c>
      <c r="BN81" s="964">
        <v>50000000</v>
      </c>
      <c r="BO81" s="964"/>
      <c r="BP81" s="964"/>
      <c r="BQ81" s="964">
        <f t="shared" ref="BQ81:BQ88" si="33">SUM(BN81:BP81)</f>
        <v>50000000</v>
      </c>
      <c r="BR81" s="964">
        <v>50000000</v>
      </c>
      <c r="BS81" s="964"/>
      <c r="BT81" s="964"/>
      <c r="BU81" s="964">
        <f t="shared" ref="BU81:BU88" si="34">SUM(BR81:BT81)</f>
        <v>50000000</v>
      </c>
      <c r="BV81" s="964">
        <v>80000000</v>
      </c>
      <c r="BW81" s="964"/>
      <c r="BX81" s="964"/>
      <c r="BY81" s="964">
        <f t="shared" ref="BY81:BY88" si="35">SUM(BV81:BX81)</f>
        <v>80000000</v>
      </c>
      <c r="BZ81" s="967">
        <f>+AW81+BG81+BU81+BY81</f>
        <v>250000000</v>
      </c>
      <c r="CA81" s="967">
        <f>+BH81+AX81</f>
        <v>114857098</v>
      </c>
      <c r="CB81" s="987">
        <f>+CA81/BZ81*100</f>
        <v>45.942839200000002</v>
      </c>
      <c r="CC81" s="910"/>
      <c r="CD81" s="681"/>
      <c r="CE81" s="528"/>
      <c r="CF81" s="528"/>
      <c r="CG81" s="529"/>
      <c r="CH81" s="64"/>
      <c r="CI81" s="64"/>
      <c r="CJ81" s="64"/>
      <c r="CL81" s="183"/>
      <c r="CX81" s="911">
        <f t="shared" si="24"/>
        <v>0</v>
      </c>
      <c r="CY81" s="1010"/>
      <c r="DA81" s="1109"/>
    </row>
    <row r="82" spans="1:106" s="68" customFormat="1" ht="112.5" hidden="1" x14ac:dyDescent="0.2">
      <c r="A82" s="1449" t="s">
        <v>58</v>
      </c>
      <c r="C82" s="525"/>
      <c r="D82" s="525"/>
      <c r="E82" s="524"/>
      <c r="F82" s="525"/>
      <c r="G82" s="525"/>
      <c r="H82" s="525"/>
      <c r="I82" s="525"/>
      <c r="J82" s="546"/>
      <c r="K82" s="1475"/>
      <c r="L82" s="520"/>
      <c r="M82" s="520"/>
      <c r="N82" s="520"/>
      <c r="O82" s="520"/>
      <c r="P82" s="1449" t="s">
        <v>503</v>
      </c>
      <c r="Q82" s="1442">
        <v>30</v>
      </c>
      <c r="R82" s="1442">
        <v>20</v>
      </c>
      <c r="S82" s="1442">
        <v>20</v>
      </c>
      <c r="T82" s="1442">
        <v>30</v>
      </c>
      <c r="U82" s="16" t="s">
        <v>700</v>
      </c>
      <c r="V82" s="737" t="s">
        <v>137</v>
      </c>
      <c r="W82" s="223">
        <v>1</v>
      </c>
      <c r="X82" s="223">
        <v>1</v>
      </c>
      <c r="Y82" s="1302">
        <f>(((X82/W82*100)*AL82)/100)</f>
        <v>30</v>
      </c>
      <c r="Z82" s="1121" t="s">
        <v>1057</v>
      </c>
      <c r="AA82" s="1302">
        <v>10</v>
      </c>
      <c r="AB82" s="223"/>
      <c r="AC82" s="223"/>
      <c r="AD82" s="223"/>
      <c r="AE82" s="1303"/>
      <c r="AF82" s="223"/>
      <c r="AG82" s="223"/>
      <c r="AH82" s="223"/>
      <c r="AI82" s="553">
        <f>+W82+AB82+AG82+AH82</f>
        <v>1</v>
      </c>
      <c r="AJ82" s="223">
        <f>+X82+AC82</f>
        <v>1</v>
      </c>
      <c r="AK82" s="424">
        <f t="shared" si="31"/>
        <v>100</v>
      </c>
      <c r="AL82" s="1410">
        <v>30</v>
      </c>
      <c r="AM82" s="1410">
        <v>20</v>
      </c>
      <c r="AN82" s="509"/>
      <c r="AO82" s="1422">
        <v>300000000</v>
      </c>
      <c r="AP82" s="1422"/>
      <c r="AQ82" s="1422">
        <f>SUM(AO82:AP82)</f>
        <v>300000000</v>
      </c>
      <c r="AR82" s="1506">
        <v>501298659</v>
      </c>
      <c r="AS82" s="1426"/>
      <c r="AT82" s="1426">
        <f>+AR82+AS82</f>
        <v>501298659</v>
      </c>
      <c r="AU82" s="1419">
        <f>568798659+8172000</f>
        <v>576970659</v>
      </c>
      <c r="AV82" s="1419"/>
      <c r="AW82" s="1419">
        <f>SUM(AU82:AV82)</f>
        <v>576970659</v>
      </c>
      <c r="AX82" s="1429">
        <f>511782741+8172000</f>
        <v>519954741</v>
      </c>
      <c r="AY82" s="1597">
        <f>+AX82/AW82*100</f>
        <v>90.118055899268882</v>
      </c>
      <c r="AZ82" s="1613">
        <f>265867099+8172000</f>
        <v>274039099</v>
      </c>
      <c r="BA82" s="1597">
        <f>+AZ82/AW82*100</f>
        <v>47.496193216300107</v>
      </c>
      <c r="BB82" s="1516">
        <v>243867099</v>
      </c>
      <c r="BC82" s="1597">
        <f>+BB82/AW82*100</f>
        <v>42.266811179387894</v>
      </c>
      <c r="BD82" s="1388">
        <v>50000000</v>
      </c>
      <c r="BE82" s="1388"/>
      <c r="BF82" s="1388"/>
      <c r="BG82" s="1388">
        <f t="shared" si="32"/>
        <v>50000000</v>
      </c>
      <c r="BH82" s="1388">
        <v>15294000</v>
      </c>
      <c r="BI82" s="1388">
        <f>+BH82/BG82*100</f>
        <v>30.587999999999997</v>
      </c>
      <c r="BJ82" s="1388"/>
      <c r="BK82" s="1388">
        <f>+BJ82/BG82*100</f>
        <v>0</v>
      </c>
      <c r="BL82" s="1388"/>
      <c r="BM82" s="1388">
        <f>+BL82/BG82*100</f>
        <v>0</v>
      </c>
      <c r="BN82" s="1388">
        <v>50000000</v>
      </c>
      <c r="BO82" s="1388"/>
      <c r="BP82" s="1388"/>
      <c r="BQ82" s="1388">
        <f t="shared" si="33"/>
        <v>50000000</v>
      </c>
      <c r="BR82" s="1388">
        <v>50000000</v>
      </c>
      <c r="BS82" s="1388"/>
      <c r="BT82" s="1388"/>
      <c r="BU82" s="1388">
        <f t="shared" si="34"/>
        <v>50000000</v>
      </c>
      <c r="BV82" s="1388">
        <v>80000000</v>
      </c>
      <c r="BW82" s="1388"/>
      <c r="BX82" s="1388"/>
      <c r="BY82" s="1388">
        <f t="shared" si="35"/>
        <v>80000000</v>
      </c>
      <c r="BZ82" s="1432">
        <f>+AW82+BG82+BU82+BY82</f>
        <v>756970659</v>
      </c>
      <c r="CA82" s="1480">
        <f>+BH82+AX82</f>
        <v>535248741</v>
      </c>
      <c r="CB82" s="1594">
        <f>+CA82/BZ82*100</f>
        <v>70.709311468834628</v>
      </c>
      <c r="CC82" s="1615" t="s">
        <v>1011</v>
      </c>
      <c r="CD82" s="1597"/>
      <c r="CE82" s="528"/>
      <c r="CF82" s="528"/>
      <c r="CG82" s="529"/>
      <c r="CH82" s="64"/>
      <c r="CI82" s="64"/>
      <c r="CJ82" s="64"/>
      <c r="CL82" s="251">
        <v>67500000</v>
      </c>
      <c r="CX82" s="911">
        <f t="shared" si="24"/>
        <v>0</v>
      </c>
      <c r="CY82" s="1010"/>
      <c r="DA82" s="1068"/>
    </row>
    <row r="83" spans="1:106" s="68" customFormat="1" ht="123.75" x14ac:dyDescent="0.2">
      <c r="A83" s="1451"/>
      <c r="C83" s="525"/>
      <c r="D83" s="525"/>
      <c r="E83" s="524"/>
      <c r="F83" s="525"/>
      <c r="G83" s="525"/>
      <c r="H83" s="525"/>
      <c r="I83" s="525"/>
      <c r="J83" s="546"/>
      <c r="K83" s="1475"/>
      <c r="L83" s="520"/>
      <c r="M83" s="520"/>
      <c r="N83" s="520"/>
      <c r="O83" s="520"/>
      <c r="P83" s="1451"/>
      <c r="Q83" s="1444"/>
      <c r="R83" s="1444"/>
      <c r="S83" s="1444"/>
      <c r="T83" s="1444"/>
      <c r="U83" s="16" t="s">
        <v>736</v>
      </c>
      <c r="V83" s="737" t="s">
        <v>137</v>
      </c>
      <c r="W83" s="223">
        <v>58</v>
      </c>
      <c r="X83" s="223">
        <v>58</v>
      </c>
      <c r="Y83" s="1302">
        <f>(((X83/W83*100)*AL82)/100)</f>
        <v>30</v>
      </c>
      <c r="Z83" s="1121" t="s">
        <v>1058</v>
      </c>
      <c r="AA83" s="1302">
        <v>10</v>
      </c>
      <c r="AB83" s="223">
        <v>58</v>
      </c>
      <c r="AC83" s="223">
        <v>0</v>
      </c>
      <c r="AD83" s="223">
        <f>(((AC83/AB83*100)*AM83)/100)</f>
        <v>0</v>
      </c>
      <c r="AE83" s="569" t="s">
        <v>1279</v>
      </c>
      <c r="AF83" s="1329">
        <v>50</v>
      </c>
      <c r="AG83" s="223">
        <v>18</v>
      </c>
      <c r="AH83" s="223">
        <v>18</v>
      </c>
      <c r="AI83" s="425">
        <v>58</v>
      </c>
      <c r="AJ83" s="223">
        <f>+X83+AC83</f>
        <v>58</v>
      </c>
      <c r="AK83" s="424">
        <v>25</v>
      </c>
      <c r="AL83" s="1412"/>
      <c r="AM83" s="1412"/>
      <c r="AN83" s="509"/>
      <c r="AO83" s="1423"/>
      <c r="AP83" s="1423"/>
      <c r="AQ83" s="1423">
        <f>SUM(AO83:AP83)</f>
        <v>0</v>
      </c>
      <c r="AR83" s="1508"/>
      <c r="AS83" s="1428"/>
      <c r="AT83" s="1428"/>
      <c r="AU83" s="1421"/>
      <c r="AV83" s="1421"/>
      <c r="AW83" s="1421">
        <f>SUM(AU83:AV83)</f>
        <v>0</v>
      </c>
      <c r="AX83" s="1430"/>
      <c r="AY83" s="1597"/>
      <c r="AZ83" s="1614"/>
      <c r="BA83" s="1597"/>
      <c r="BB83" s="1518"/>
      <c r="BC83" s="1597"/>
      <c r="BD83" s="1390"/>
      <c r="BE83" s="1390"/>
      <c r="BF83" s="1390"/>
      <c r="BG83" s="1390">
        <f t="shared" si="32"/>
        <v>0</v>
      </c>
      <c r="BH83" s="1390"/>
      <c r="BI83" s="1390"/>
      <c r="BJ83" s="1390"/>
      <c r="BK83" s="1390"/>
      <c r="BL83" s="1390"/>
      <c r="BM83" s="1390"/>
      <c r="BN83" s="1390"/>
      <c r="BO83" s="1390"/>
      <c r="BP83" s="1390"/>
      <c r="BQ83" s="1390">
        <f t="shared" si="33"/>
        <v>0</v>
      </c>
      <c r="BR83" s="1390"/>
      <c r="BS83" s="1390"/>
      <c r="BT83" s="1390"/>
      <c r="BU83" s="1390">
        <f t="shared" si="34"/>
        <v>0</v>
      </c>
      <c r="BV83" s="1390"/>
      <c r="BW83" s="1390"/>
      <c r="BX83" s="1390"/>
      <c r="BY83" s="1390">
        <f t="shared" si="35"/>
        <v>0</v>
      </c>
      <c r="BZ83" s="1440"/>
      <c r="CA83" s="1482"/>
      <c r="CB83" s="1594"/>
      <c r="CC83" s="1616"/>
      <c r="CD83" s="1597"/>
      <c r="CE83" s="528"/>
      <c r="CF83" s="528"/>
      <c r="CG83" s="529"/>
      <c r="CH83" s="64"/>
      <c r="CI83" s="64"/>
      <c r="CJ83" s="64"/>
      <c r="CL83" s="252">
        <v>8172000</v>
      </c>
      <c r="CX83" s="911">
        <f t="shared" si="24"/>
        <v>0</v>
      </c>
      <c r="CY83" s="1010"/>
      <c r="DA83" s="1109"/>
    </row>
    <row r="84" spans="1:106" s="68" customFormat="1" ht="157.5" x14ac:dyDescent="0.2">
      <c r="A84" s="21"/>
      <c r="C84" s="525"/>
      <c r="D84" s="525"/>
      <c r="E84" s="524"/>
      <c r="F84" s="525"/>
      <c r="G84" s="525"/>
      <c r="H84" s="525"/>
      <c r="I84" s="525"/>
      <c r="J84" s="546"/>
      <c r="K84" s="1475"/>
      <c r="L84" s="520"/>
      <c r="M84" s="520"/>
      <c r="N84" s="520"/>
      <c r="O84" s="520"/>
      <c r="P84" s="16" t="s">
        <v>370</v>
      </c>
      <c r="Q84" s="602"/>
      <c r="R84" s="568">
        <v>30</v>
      </c>
      <c r="S84" s="568">
        <v>20</v>
      </c>
      <c r="T84" s="568"/>
      <c r="U84" s="16" t="s">
        <v>762</v>
      </c>
      <c r="V84" s="1155" t="s">
        <v>147</v>
      </c>
      <c r="W84" s="553"/>
      <c r="X84" s="553"/>
      <c r="Y84" s="1302"/>
      <c r="Z84" s="554"/>
      <c r="AA84" s="541"/>
      <c r="AB84" s="553">
        <v>100</v>
      </c>
      <c r="AC84" s="223">
        <v>0</v>
      </c>
      <c r="AD84" s="1330">
        <f>(((AC84/AB84*100)*AM84)/100)</f>
        <v>0</v>
      </c>
      <c r="AE84" s="1121" t="s">
        <v>1280</v>
      </c>
      <c r="AF84" s="1331">
        <v>80</v>
      </c>
      <c r="AG84" s="553">
        <v>100</v>
      </c>
      <c r="AH84" s="223"/>
      <c r="AI84" s="553">
        <v>100</v>
      </c>
      <c r="AJ84" s="541"/>
      <c r="AK84" s="424">
        <f t="shared" si="31"/>
        <v>0</v>
      </c>
      <c r="AL84" s="1310"/>
      <c r="AM84" s="1310">
        <v>30</v>
      </c>
      <c r="AN84" s="554" t="s">
        <v>837</v>
      </c>
      <c r="AO84" s="183"/>
      <c r="AP84" s="183"/>
      <c r="AQ84" s="183"/>
      <c r="AR84" s="411"/>
      <c r="AS84" s="411"/>
      <c r="AT84" s="411"/>
      <c r="AU84" s="710"/>
      <c r="AV84" s="710"/>
      <c r="AW84" s="710"/>
      <c r="AX84" s="778">
        <v>0</v>
      </c>
      <c r="AY84" s="682"/>
      <c r="AZ84" s="672"/>
      <c r="BA84" s="681">
        <v>0</v>
      </c>
      <c r="BB84" s="672"/>
      <c r="BC84" s="681">
        <v>0</v>
      </c>
      <c r="BD84" s="1031">
        <v>40000000</v>
      </c>
      <c r="BE84" s="1031"/>
      <c r="BF84" s="1031"/>
      <c r="BG84" s="1031">
        <f t="shared" si="32"/>
        <v>40000000</v>
      </c>
      <c r="BH84" s="986">
        <v>0</v>
      </c>
      <c r="BI84" s="986">
        <f>+BH84/BG84*100</f>
        <v>0</v>
      </c>
      <c r="BJ84" s="987">
        <v>0</v>
      </c>
      <c r="BK84" s="986">
        <f>+BJ84/BG84*100</f>
        <v>0</v>
      </c>
      <c r="BL84" s="987">
        <v>0</v>
      </c>
      <c r="BM84" s="986">
        <f>+BL84/BG84*100</f>
        <v>0</v>
      </c>
      <c r="BN84" s="964">
        <v>40000000</v>
      </c>
      <c r="BO84" s="964"/>
      <c r="BP84" s="964"/>
      <c r="BQ84" s="964">
        <f t="shared" si="33"/>
        <v>40000000</v>
      </c>
      <c r="BR84" s="964">
        <v>40000000</v>
      </c>
      <c r="BS84" s="964"/>
      <c r="BT84" s="971"/>
      <c r="BU84" s="964">
        <f t="shared" si="34"/>
        <v>40000000</v>
      </c>
      <c r="BV84" s="964"/>
      <c r="BW84" s="964"/>
      <c r="BX84" s="964"/>
      <c r="BY84" s="964">
        <f t="shared" si="35"/>
        <v>0</v>
      </c>
      <c r="BZ84" s="967">
        <f>+AW84+BG84+BU84+BY84</f>
        <v>80000000</v>
      </c>
      <c r="CA84" s="967">
        <f>+AX84+BH84</f>
        <v>0</v>
      </c>
      <c r="CB84" s="987">
        <f>+CA84/BZ84*100</f>
        <v>0</v>
      </c>
      <c r="CC84" s="910"/>
      <c r="CD84" s="681"/>
      <c r="CE84" s="528"/>
      <c r="CF84" s="528"/>
      <c r="CG84" s="529"/>
      <c r="CH84" s="64"/>
      <c r="CI84" s="64"/>
      <c r="CJ84" s="64"/>
      <c r="CL84" s="183"/>
      <c r="CX84" s="911">
        <f t="shared" si="24"/>
        <v>0</v>
      </c>
      <c r="CY84" s="1010"/>
      <c r="DA84" s="1109"/>
    </row>
    <row r="85" spans="1:106" s="68" customFormat="1" ht="157.5" x14ac:dyDescent="0.2">
      <c r="A85" s="21"/>
      <c r="C85" s="525"/>
      <c r="D85" s="525"/>
      <c r="E85" s="524"/>
      <c r="F85" s="525"/>
      <c r="G85" s="525"/>
      <c r="H85" s="525"/>
      <c r="I85" s="525"/>
      <c r="J85" s="546"/>
      <c r="K85" s="1475"/>
      <c r="L85" s="520"/>
      <c r="M85" s="520"/>
      <c r="N85" s="520"/>
      <c r="O85" s="520"/>
      <c r="P85" s="16" t="s">
        <v>596</v>
      </c>
      <c r="Q85" s="602"/>
      <c r="R85" s="568">
        <v>20</v>
      </c>
      <c r="S85" s="568">
        <v>20</v>
      </c>
      <c r="T85" s="568">
        <v>40</v>
      </c>
      <c r="U85" s="16" t="s">
        <v>501</v>
      </c>
      <c r="V85" s="1155" t="s">
        <v>137</v>
      </c>
      <c r="W85" s="223"/>
      <c r="X85" s="223"/>
      <c r="Y85" s="1302"/>
      <c r="Z85" s="1121"/>
      <c r="AA85" s="1302"/>
      <c r="AB85" s="223">
        <v>3</v>
      </c>
      <c r="AC85" s="223">
        <v>2</v>
      </c>
      <c r="AD85" s="1330">
        <f>(((AC85/AB85*100)*AM85)/100)</f>
        <v>13.33333333333333</v>
      </c>
      <c r="AE85" s="1333" t="s">
        <v>1281</v>
      </c>
      <c r="AF85" s="1332">
        <v>70</v>
      </c>
      <c r="AG85" s="223">
        <v>1</v>
      </c>
      <c r="AH85" s="223">
        <v>1</v>
      </c>
      <c r="AI85" s="553">
        <f>+W85+AB85+AG85+AH85</f>
        <v>5</v>
      </c>
      <c r="AJ85" s="1156">
        <f>+AC85</f>
        <v>2</v>
      </c>
      <c r="AK85" s="424">
        <f t="shared" si="31"/>
        <v>40</v>
      </c>
      <c r="AL85" s="1310"/>
      <c r="AM85" s="1310">
        <v>20</v>
      </c>
      <c r="AN85" s="506" t="s">
        <v>838</v>
      </c>
      <c r="AO85" s="183"/>
      <c r="AP85" s="183"/>
      <c r="AQ85" s="183"/>
      <c r="AR85" s="411"/>
      <c r="AS85" s="411"/>
      <c r="AT85" s="411"/>
      <c r="AU85" s="710"/>
      <c r="AV85" s="710"/>
      <c r="AW85" s="710"/>
      <c r="AX85" s="778">
        <v>0</v>
      </c>
      <c r="AY85" s="676">
        <v>0</v>
      </c>
      <c r="AZ85" s="672"/>
      <c r="BA85" s="676">
        <v>0</v>
      </c>
      <c r="BB85" s="672"/>
      <c r="BC85" s="676">
        <v>0</v>
      </c>
      <c r="BD85" s="1031">
        <v>180000000</v>
      </c>
      <c r="BE85" s="1031"/>
      <c r="BF85" s="1031"/>
      <c r="BG85" s="1031">
        <f t="shared" si="32"/>
        <v>180000000</v>
      </c>
      <c r="BH85" s="1079">
        <v>93423872</v>
      </c>
      <c r="BI85" s="1031">
        <f>+BH85/BG85*100</f>
        <v>51.902151111111102</v>
      </c>
      <c r="BJ85" s="1079">
        <v>20841468</v>
      </c>
      <c r="BK85" s="1031">
        <f>+BJ85/BG85*100</f>
        <v>11.578593333333332</v>
      </c>
      <c r="BL85" s="1079">
        <v>20841468</v>
      </c>
      <c r="BM85" s="964">
        <f>+BL85/BG85*100</f>
        <v>11.578593333333332</v>
      </c>
      <c r="BN85" s="964">
        <v>180000000</v>
      </c>
      <c r="BO85" s="964"/>
      <c r="BP85" s="964"/>
      <c r="BQ85" s="964">
        <f t="shared" si="33"/>
        <v>180000000</v>
      </c>
      <c r="BR85" s="964">
        <v>180000000</v>
      </c>
      <c r="BS85" s="964"/>
      <c r="BT85" s="964"/>
      <c r="BU85" s="964">
        <f t="shared" si="34"/>
        <v>180000000</v>
      </c>
      <c r="BV85" s="964">
        <v>200000000</v>
      </c>
      <c r="BW85" s="964"/>
      <c r="BX85" s="964"/>
      <c r="BY85" s="964">
        <f t="shared" si="35"/>
        <v>200000000</v>
      </c>
      <c r="BZ85" s="967">
        <f>+AW85+BG85+BU85+BY85</f>
        <v>560000000</v>
      </c>
      <c r="CA85" s="967">
        <f>+BH85+AX85</f>
        <v>93423872</v>
      </c>
      <c r="CB85" s="987">
        <f>+CA85/BZ85*100</f>
        <v>16.682834285714286</v>
      </c>
      <c r="CC85" s="910"/>
      <c r="CD85" s="681"/>
      <c r="CE85" s="528"/>
      <c r="CF85" s="528"/>
      <c r="CG85" s="529"/>
      <c r="CH85" s="64"/>
      <c r="CI85" s="64"/>
      <c r="CJ85" s="64"/>
      <c r="CL85" s="183"/>
      <c r="CX85" s="911">
        <f t="shared" si="24"/>
        <v>0</v>
      </c>
      <c r="CY85" s="1010"/>
      <c r="DA85" s="1109"/>
    </row>
    <row r="86" spans="1:106" s="68" customFormat="1" ht="123.75" hidden="1" x14ac:dyDescent="0.2">
      <c r="A86" s="21" t="s">
        <v>59</v>
      </c>
      <c r="C86" s="525"/>
      <c r="D86" s="525"/>
      <c r="E86" s="524"/>
      <c r="F86" s="525"/>
      <c r="G86" s="525"/>
      <c r="H86" s="525"/>
      <c r="I86" s="525"/>
      <c r="J86" s="600"/>
      <c r="K86" s="1522"/>
      <c r="L86" s="521"/>
      <c r="M86" s="521"/>
      <c r="N86" s="521"/>
      <c r="O86" s="521"/>
      <c r="P86" s="738" t="s">
        <v>59</v>
      </c>
      <c r="Q86" s="568">
        <v>25</v>
      </c>
      <c r="R86" s="568"/>
      <c r="S86" s="568"/>
      <c r="T86" s="568"/>
      <c r="U86" s="602" t="s">
        <v>497</v>
      </c>
      <c r="V86" s="599" t="s">
        <v>394</v>
      </c>
      <c r="W86" s="1090">
        <v>4</v>
      </c>
      <c r="X86" s="1090">
        <v>4</v>
      </c>
      <c r="Y86" s="1089">
        <f>(((X86/W86*100)*AL86)/100)</f>
        <v>25</v>
      </c>
      <c r="Z86" s="884" t="s">
        <v>1059</v>
      </c>
      <c r="AA86" s="883">
        <v>40</v>
      </c>
      <c r="AB86" s="425"/>
      <c r="AC86" s="217"/>
      <c r="AD86" s="904"/>
      <c r="AE86" s="875" t="s">
        <v>1155</v>
      </c>
      <c r="AF86" s="874"/>
      <c r="AG86" s="425"/>
      <c r="AH86" s="425"/>
      <c r="AI86" s="553">
        <f>+W86+AB86+AG86+AH86</f>
        <v>4</v>
      </c>
      <c r="AJ86" s="901">
        <f>+X86+AC86</f>
        <v>4</v>
      </c>
      <c r="AK86" s="424">
        <f t="shared" si="31"/>
        <v>100</v>
      </c>
      <c r="AL86" s="890">
        <v>25</v>
      </c>
      <c r="AM86" s="896"/>
      <c r="AN86" s="750" t="s">
        <v>737</v>
      </c>
      <c r="AO86" s="251">
        <v>312000000</v>
      </c>
      <c r="AP86" s="251"/>
      <c r="AQ86" s="251">
        <f>SUM(AO86:AP86)</f>
        <v>312000000</v>
      </c>
      <c r="AR86" s="581">
        <v>312000000</v>
      </c>
      <c r="AS86" s="561"/>
      <c r="AT86" s="561">
        <f>+AR86+AS86</f>
        <v>312000000</v>
      </c>
      <c r="AU86" s="706">
        <v>312000000</v>
      </c>
      <c r="AV86" s="706"/>
      <c r="AW86" s="706">
        <f>SUM(AU86:AV86)</f>
        <v>312000000</v>
      </c>
      <c r="AX86" s="776">
        <v>284393867</v>
      </c>
      <c r="AY86" s="680">
        <f>+AX86/AW86*100</f>
        <v>91.151880448717947</v>
      </c>
      <c r="AZ86" s="683">
        <v>162200483</v>
      </c>
      <c r="BA86" s="680">
        <f>+AZ86/AW86*100</f>
        <v>51.987334294871786</v>
      </c>
      <c r="BB86" s="683">
        <v>162200483</v>
      </c>
      <c r="BC86" s="680">
        <f>+BB86/AW86*100</f>
        <v>51.987334294871786</v>
      </c>
      <c r="BD86" s="1022"/>
      <c r="BE86" s="1022"/>
      <c r="BF86" s="1080">
        <v>27606133</v>
      </c>
      <c r="BG86" s="1022">
        <f>SUM(BD86:BF86)</f>
        <v>27606133</v>
      </c>
      <c r="BH86" s="1022">
        <v>0</v>
      </c>
      <c r="BI86" s="1031">
        <f>+BH86/BG86*100</f>
        <v>0</v>
      </c>
      <c r="BJ86" s="1029"/>
      <c r="BK86" s="1022">
        <v>0</v>
      </c>
      <c r="BL86" s="1029"/>
      <c r="BM86" s="1031">
        <f>+BL86/BG86*100</f>
        <v>0</v>
      </c>
      <c r="BN86" s="950"/>
      <c r="BO86" s="950"/>
      <c r="BP86" s="950"/>
      <c r="BQ86" s="950">
        <f t="shared" si="33"/>
        <v>0</v>
      </c>
      <c r="BR86" s="950"/>
      <c r="BS86" s="950"/>
      <c r="BT86" s="950"/>
      <c r="BU86" s="950">
        <f t="shared" si="34"/>
        <v>0</v>
      </c>
      <c r="BV86" s="950"/>
      <c r="BW86" s="950"/>
      <c r="BX86" s="950"/>
      <c r="BY86" s="950">
        <f t="shared" si="35"/>
        <v>0</v>
      </c>
      <c r="BZ86" s="953">
        <f>+AW86+BG86+BU86+BY86</f>
        <v>339606133</v>
      </c>
      <c r="CA86" s="967">
        <f>+BH86+AX86</f>
        <v>284393867</v>
      </c>
      <c r="CB86" s="970">
        <f>+CA86/BZ86*100</f>
        <v>83.742264748793573</v>
      </c>
      <c r="CC86" s="909"/>
      <c r="CD86" s="1038" t="s">
        <v>1189</v>
      </c>
      <c r="CE86" s="542"/>
      <c r="CF86" s="528"/>
      <c r="CG86" s="529"/>
      <c r="CH86" s="64"/>
      <c r="CI86" s="64"/>
      <c r="CJ86" s="64"/>
      <c r="CL86" s="251"/>
      <c r="CX86" s="911">
        <f>+BF86-BN86</f>
        <v>27606133</v>
      </c>
      <c r="CY86" s="1016"/>
      <c r="CZ86" s="1020"/>
      <c r="DA86" s="1069"/>
    </row>
    <row r="87" spans="1:106" s="830" customFormat="1" ht="45" x14ac:dyDescent="0.2">
      <c r="A87" s="814" t="s">
        <v>60</v>
      </c>
      <c r="C87" s="871"/>
      <c r="D87" s="837"/>
      <c r="E87" s="832"/>
      <c r="F87" s="837"/>
      <c r="G87" s="837"/>
      <c r="H87" s="837"/>
      <c r="I87" s="837"/>
      <c r="J87" s="1241" t="s">
        <v>830</v>
      </c>
      <c r="K87" s="1241"/>
      <c r="L87" s="1243">
        <v>30</v>
      </c>
      <c r="M87" s="1243">
        <v>30</v>
      </c>
      <c r="N87" s="1243">
        <v>30</v>
      </c>
      <c r="O87" s="1243">
        <v>30</v>
      </c>
      <c r="P87" s="1241"/>
      <c r="Q87" s="1266"/>
      <c r="R87" s="1266"/>
      <c r="S87" s="1266"/>
      <c r="T87" s="1266"/>
      <c r="U87" s="1266"/>
      <c r="V87" s="1267"/>
      <c r="W87" s="1251"/>
      <c r="X87" s="1251"/>
      <c r="Y87" s="1261">
        <f>((((Y88)+((Y91+Y92)/2))*AL87)/100)</f>
        <v>24</v>
      </c>
      <c r="Z87" s="1261"/>
      <c r="AA87" s="1261">
        <f>((((AA88+AA91+AA92)/3)*AL87)/100)</f>
        <v>8</v>
      </c>
      <c r="AB87" s="1261"/>
      <c r="AC87" s="1261"/>
      <c r="AD87" s="1261">
        <f>((((AD88+AD89+AD90)+((AD91+AD92)+AD93/3))*AM87)/100)</f>
        <v>0</v>
      </c>
      <c r="AE87" s="1268"/>
      <c r="AF87" s="1261">
        <f>+(AF88+AF89+AF90+AF91+AF92+AF93)/6</f>
        <v>27.5</v>
      </c>
      <c r="AG87" s="1261"/>
      <c r="AH87" s="1261"/>
      <c r="AI87" s="1261"/>
      <c r="AJ87" s="1203"/>
      <c r="AK87" s="1261">
        <f>((AK88+AK91+AK92)/3)</f>
        <v>16.666666666666668</v>
      </c>
      <c r="AL87" s="1261">
        <f>+L87</f>
        <v>30</v>
      </c>
      <c r="AM87" s="1261">
        <v>30</v>
      </c>
      <c r="AN87" s="1253"/>
      <c r="AO87" s="821">
        <f>SUM(AO88:AO93)</f>
        <v>890000000</v>
      </c>
      <c r="AP87" s="821">
        <f>SUM(AP88:AP93)</f>
        <v>0</v>
      </c>
      <c r="AQ87" s="821">
        <f>SUM(AO87:AP87)</f>
        <v>890000000</v>
      </c>
      <c r="AR87" s="822">
        <f>SUM(AR88:AR93)</f>
        <v>1148028000</v>
      </c>
      <c r="AS87" s="822"/>
      <c r="AT87" s="822">
        <f>SUM(AT88:AT93)</f>
        <v>1148028000</v>
      </c>
      <c r="AU87" s="823">
        <f>SUM(AU88:AU93)</f>
        <v>1730407976</v>
      </c>
      <c r="AV87" s="823">
        <f>SUM(AV88:AV93)</f>
        <v>0</v>
      </c>
      <c r="AW87" s="823">
        <f>SUM(AU87:AV87)</f>
        <v>1730407976</v>
      </c>
      <c r="AX87" s="824">
        <f>SUM(AX88:AX93)</f>
        <v>1158917200</v>
      </c>
      <c r="AY87" s="825">
        <f>+AX87/AW87*100</f>
        <v>66.973639515864093</v>
      </c>
      <c r="AZ87" s="826">
        <f>SUM(AZ88:AZ93)</f>
        <v>30851097</v>
      </c>
      <c r="BA87" s="825">
        <f>+AZ87/AW87*100</f>
        <v>1.7828799582463319</v>
      </c>
      <c r="BB87" s="826">
        <f>SUM(BB88:BB93)</f>
        <v>30851097</v>
      </c>
      <c r="BC87" s="825">
        <f>+BB87/AW87*100</f>
        <v>1.7828799582463319</v>
      </c>
      <c r="BD87" s="947">
        <f>SUM(BD88:BD93)</f>
        <v>315840000</v>
      </c>
      <c r="BE87" s="947">
        <f>SUM(BE88:BE93)</f>
        <v>0</v>
      </c>
      <c r="BF87" s="947">
        <f>SUM(BF88:BF93)</f>
        <v>175866923</v>
      </c>
      <c r="BG87" s="947">
        <f t="shared" si="32"/>
        <v>491706923</v>
      </c>
      <c r="BH87" s="947">
        <f>SUM(BH88:BH93)</f>
        <v>74701195</v>
      </c>
      <c r="BI87" s="947">
        <f>+BH87/BG87*100</f>
        <v>15.192219492097736</v>
      </c>
      <c r="BJ87" s="947">
        <f>SUM(BJ88:BJ93)</f>
        <v>0</v>
      </c>
      <c r="BK87" s="947">
        <f>+BJ87/BG87*100</f>
        <v>0</v>
      </c>
      <c r="BL87" s="947">
        <f>SUM(BL88:BL93)</f>
        <v>0</v>
      </c>
      <c r="BM87" s="947">
        <f>+BL87/BG87*100</f>
        <v>0</v>
      </c>
      <c r="BN87" s="947">
        <f>SUM(BN88:BN93)</f>
        <v>105000000</v>
      </c>
      <c r="BO87" s="947">
        <f>SUM(BO88:BO93)</f>
        <v>0</v>
      </c>
      <c r="BP87" s="947">
        <f>SUM(BP88:BP93)</f>
        <v>476976410</v>
      </c>
      <c r="BQ87" s="947">
        <f t="shared" si="33"/>
        <v>581976410</v>
      </c>
      <c r="BR87" s="947">
        <f>SUM(BR88:BR93)</f>
        <v>170000000</v>
      </c>
      <c r="BS87" s="947">
        <f>SUM(BS88:BS93)</f>
        <v>0</v>
      </c>
      <c r="BT87" s="947">
        <f>SUM(BT88:BT93)</f>
        <v>0</v>
      </c>
      <c r="BU87" s="947">
        <f t="shared" si="34"/>
        <v>170000000</v>
      </c>
      <c r="BV87" s="947">
        <f>SUM(BV88:BV93)</f>
        <v>140000000</v>
      </c>
      <c r="BW87" s="947">
        <f>SUM(BW88:BW93)</f>
        <v>0</v>
      </c>
      <c r="BX87" s="947">
        <f>SUM(BX88:BX93)</f>
        <v>0</v>
      </c>
      <c r="BY87" s="947">
        <f t="shared" si="35"/>
        <v>140000000</v>
      </c>
      <c r="BZ87" s="948">
        <f>SUM(BZ88:BZ93)</f>
        <v>2532114899</v>
      </c>
      <c r="CA87" s="948">
        <f>SUM(CA88:CA93)</f>
        <v>1233618395</v>
      </c>
      <c r="CB87" s="949">
        <f>+CA87/BZ87*100</f>
        <v>48.718894845063666</v>
      </c>
      <c r="CC87" s="827"/>
      <c r="CD87" s="825"/>
      <c r="CE87" s="828"/>
      <c r="CF87" s="834">
        <f>SUM(BZ88:BZ93)</f>
        <v>2532114899</v>
      </c>
      <c r="CG87" s="845">
        <v>258028000</v>
      </c>
      <c r="CH87" s="846"/>
      <c r="CI87" s="846"/>
      <c r="CJ87" s="846"/>
      <c r="CL87" s="821"/>
      <c r="CX87" s="911">
        <f t="shared" si="24"/>
        <v>210840000</v>
      </c>
      <c r="CY87" s="1009"/>
      <c r="DA87" s="1067"/>
    </row>
    <row r="88" spans="1:106" s="68" customFormat="1" ht="157.5" x14ac:dyDescent="0.2">
      <c r="A88" s="16" t="s">
        <v>61</v>
      </c>
      <c r="C88" s="525"/>
      <c r="D88" s="525"/>
      <c r="E88" s="524"/>
      <c r="F88" s="525"/>
      <c r="G88" s="525"/>
      <c r="H88" s="525"/>
      <c r="I88" s="525"/>
      <c r="J88" s="1601"/>
      <c r="K88" s="1526" t="s">
        <v>678</v>
      </c>
      <c r="L88" s="584"/>
      <c r="M88" s="584"/>
      <c r="N88" s="584"/>
      <c r="O88" s="584"/>
      <c r="P88" s="1526" t="s">
        <v>371</v>
      </c>
      <c r="Q88" s="1604">
        <v>80</v>
      </c>
      <c r="R88" s="1604">
        <v>80</v>
      </c>
      <c r="S88" s="1618"/>
      <c r="T88" s="1618"/>
      <c r="U88" s="21" t="s">
        <v>746</v>
      </c>
      <c r="V88" s="603" t="s">
        <v>507</v>
      </c>
      <c r="W88" s="604">
        <v>3350</v>
      </c>
      <c r="X88" s="604">
        <v>3350</v>
      </c>
      <c r="Y88" s="1302">
        <f>(((X88/W88*100)*AL88)/100)</f>
        <v>80</v>
      </c>
      <c r="Z88" s="506" t="s">
        <v>1060</v>
      </c>
      <c r="AA88" s="566">
        <f>+Y88</f>
        <v>80</v>
      </c>
      <c r="AB88" s="604">
        <v>3350</v>
      </c>
      <c r="AC88" s="591">
        <v>0</v>
      </c>
      <c r="AD88" s="223">
        <f t="shared" ref="AD88:AD93" si="36">(((AC88/AB88*100)*AM88)/100)</f>
        <v>0</v>
      </c>
      <c r="AE88" s="1334" t="s">
        <v>1282</v>
      </c>
      <c r="AF88" s="1335">
        <v>50</v>
      </c>
      <c r="AG88" s="591"/>
      <c r="AH88" s="591"/>
      <c r="AI88" s="604">
        <v>3350</v>
      </c>
      <c r="AJ88" s="223">
        <f>+(X88+AC88)/2</f>
        <v>1675</v>
      </c>
      <c r="AK88" s="424">
        <f t="shared" ref="AK88:AK93" si="37">+AJ88/AI88*100</f>
        <v>50</v>
      </c>
      <c r="AL88" s="1310">
        <v>80</v>
      </c>
      <c r="AM88" s="1410">
        <v>80</v>
      </c>
      <c r="AN88" s="509"/>
      <c r="AO88" s="1422">
        <f>250000000+500000000</f>
        <v>750000000</v>
      </c>
      <c r="AP88" s="1422"/>
      <c r="AQ88" s="1422">
        <f>SUM(AO88:AP88)</f>
        <v>750000000</v>
      </c>
      <c r="AR88" s="1506">
        <f>501000000+500000000</f>
        <v>1001000000</v>
      </c>
      <c r="AS88" s="1426"/>
      <c r="AT88" s="1426">
        <f>+AR88+AS88</f>
        <v>1001000000</v>
      </c>
      <c r="AU88" s="1419">
        <f>501000000+1082379976</f>
        <v>1583379976</v>
      </c>
      <c r="AV88" s="1419"/>
      <c r="AW88" s="1419">
        <f>SUM(AU88:AV88)</f>
        <v>1583379976</v>
      </c>
      <c r="AX88" s="1413">
        <f>107495424+1051421776</f>
        <v>1158917200</v>
      </c>
      <c r="AY88" s="1407">
        <f>+AX88/AW88*100</f>
        <v>73.192614379758965</v>
      </c>
      <c r="AZ88" s="1407">
        <f>16810200+14040897</f>
        <v>30851097</v>
      </c>
      <c r="BA88" s="1407">
        <f>+AZ88/AW88*100</f>
        <v>1.9484329388791009</v>
      </c>
      <c r="BB88" s="1407">
        <f>16810200+14040897</f>
        <v>30851097</v>
      </c>
      <c r="BC88" s="1407">
        <f>+BB88/AW88*100</f>
        <v>1.9484329388791009</v>
      </c>
      <c r="BD88" s="1388">
        <f>210840000</f>
        <v>210840000</v>
      </c>
      <c r="BE88" s="1388"/>
      <c r="BF88" s="1396">
        <v>175866923</v>
      </c>
      <c r="BG88" s="1388">
        <f>SUM(BD88:BF88)</f>
        <v>386706923</v>
      </c>
      <c r="BH88" s="1388"/>
      <c r="BI88" s="1388">
        <f>+BH88/BG88*100</f>
        <v>0</v>
      </c>
      <c r="BJ88" s="1388"/>
      <c r="BK88" s="1388">
        <f>+BJ88/BG88*100</f>
        <v>0</v>
      </c>
      <c r="BL88" s="1388"/>
      <c r="BM88" s="1388">
        <f>+BL88/BG88*100</f>
        <v>0</v>
      </c>
      <c r="BN88" s="1388"/>
      <c r="BO88" s="1388"/>
      <c r="BP88" s="1388">
        <v>476976410</v>
      </c>
      <c r="BQ88" s="1388">
        <f t="shared" si="33"/>
        <v>476976410</v>
      </c>
      <c r="BR88" s="1388"/>
      <c r="BS88" s="1388"/>
      <c r="BT88" s="1388"/>
      <c r="BU88" s="1388">
        <f t="shared" si="34"/>
        <v>0</v>
      </c>
      <c r="BV88" s="1388"/>
      <c r="BW88" s="1388"/>
      <c r="BX88" s="1388"/>
      <c r="BY88" s="1388">
        <f t="shared" si="35"/>
        <v>0</v>
      </c>
      <c r="BZ88" s="1401">
        <f>+AW88+BG88+BU88+BY88</f>
        <v>1970086899</v>
      </c>
      <c r="CA88" s="1401">
        <f>+AX88+BH88</f>
        <v>1158917200</v>
      </c>
      <c r="CB88" s="1434">
        <f>+CA88/BZ88*100</f>
        <v>58.825689394120474</v>
      </c>
      <c r="CC88" s="1608" t="s">
        <v>1017</v>
      </c>
      <c r="CD88" s="1740" t="s">
        <v>1191</v>
      </c>
      <c r="CE88" s="528"/>
      <c r="CF88" s="528"/>
      <c r="CG88" s="529"/>
      <c r="CH88" s="64" t="s">
        <v>487</v>
      </c>
      <c r="CI88" s="64"/>
      <c r="CJ88" s="64"/>
      <c r="CL88" s="251"/>
      <c r="CX88" s="911">
        <f t="shared" si="24"/>
        <v>210840000</v>
      </c>
      <c r="CY88" s="1016"/>
      <c r="CZ88" s="1020"/>
      <c r="DA88" s="1117"/>
    </row>
    <row r="89" spans="1:106" s="68" customFormat="1" ht="200.25" x14ac:dyDescent="0.2">
      <c r="A89" s="16"/>
      <c r="C89" s="525"/>
      <c r="D89" s="525"/>
      <c r="E89" s="524"/>
      <c r="F89" s="525"/>
      <c r="G89" s="525"/>
      <c r="H89" s="525"/>
      <c r="I89" s="525"/>
      <c r="J89" s="1602"/>
      <c r="K89" s="1527"/>
      <c r="L89" s="605"/>
      <c r="M89" s="605"/>
      <c r="N89" s="605"/>
      <c r="O89" s="605"/>
      <c r="P89" s="1527"/>
      <c r="Q89" s="1617"/>
      <c r="R89" s="1617"/>
      <c r="S89" s="1619"/>
      <c r="T89" s="1619"/>
      <c r="U89" s="21" t="s">
        <v>986</v>
      </c>
      <c r="V89" s="603" t="s">
        <v>147</v>
      </c>
      <c r="W89" s="1336"/>
      <c r="X89" s="1336"/>
      <c r="Y89" s="1113"/>
      <c r="Z89" s="1337"/>
      <c r="AA89" s="77"/>
      <c r="AB89" s="591">
        <v>100</v>
      </c>
      <c r="AC89" s="591">
        <v>0</v>
      </c>
      <c r="AD89" s="1330">
        <f t="shared" si="36"/>
        <v>0</v>
      </c>
      <c r="AE89" s="1338" t="s">
        <v>1283</v>
      </c>
      <c r="AF89" s="1339">
        <v>25</v>
      </c>
      <c r="AG89" s="591"/>
      <c r="AH89" s="591"/>
      <c r="AI89" s="592">
        <v>100</v>
      </c>
      <c r="AJ89" s="1157">
        <f>+AC89</f>
        <v>0</v>
      </c>
      <c r="AK89" s="424">
        <f t="shared" si="37"/>
        <v>0</v>
      </c>
      <c r="AL89" s="1310"/>
      <c r="AM89" s="1411"/>
      <c r="AN89" s="560" t="s">
        <v>818</v>
      </c>
      <c r="AO89" s="1476"/>
      <c r="AP89" s="1476"/>
      <c r="AQ89" s="1476"/>
      <c r="AR89" s="1507"/>
      <c r="AS89" s="1427"/>
      <c r="AT89" s="1427"/>
      <c r="AU89" s="1420"/>
      <c r="AV89" s="1420"/>
      <c r="AW89" s="1420"/>
      <c r="AX89" s="1414"/>
      <c r="AY89" s="1424"/>
      <c r="AZ89" s="1424"/>
      <c r="BA89" s="1424"/>
      <c r="BB89" s="1424"/>
      <c r="BC89" s="1424"/>
      <c r="BD89" s="1389"/>
      <c r="BE89" s="1389"/>
      <c r="BF89" s="1397"/>
      <c r="BG89" s="1389"/>
      <c r="BH89" s="1389"/>
      <c r="BI89" s="1389"/>
      <c r="BJ89" s="1389"/>
      <c r="BK89" s="1389"/>
      <c r="BL89" s="1389"/>
      <c r="BM89" s="1389"/>
      <c r="BN89" s="1389"/>
      <c r="BO89" s="1389"/>
      <c r="BP89" s="1389"/>
      <c r="BQ89" s="1389"/>
      <c r="BR89" s="1389"/>
      <c r="BS89" s="1389"/>
      <c r="BT89" s="1389"/>
      <c r="BU89" s="1389"/>
      <c r="BV89" s="1389"/>
      <c r="BW89" s="1389"/>
      <c r="BX89" s="1389"/>
      <c r="BY89" s="1389"/>
      <c r="BZ89" s="1402"/>
      <c r="CA89" s="1402"/>
      <c r="CB89" s="1435"/>
      <c r="CC89" s="1609"/>
      <c r="CD89" s="1745"/>
      <c r="CE89" s="528"/>
      <c r="CF89" s="528"/>
      <c r="CG89" s="529"/>
      <c r="CH89" s="64"/>
      <c r="CI89" s="64"/>
      <c r="CJ89" s="64"/>
      <c r="CL89" s="523">
        <v>582379976</v>
      </c>
      <c r="CM89" s="534"/>
      <c r="CX89" s="911">
        <f t="shared" si="24"/>
        <v>0</v>
      </c>
      <c r="CY89" s="1063"/>
      <c r="CZ89" s="1064"/>
      <c r="DA89" s="1128"/>
      <c r="DB89" s="1072"/>
    </row>
    <row r="90" spans="1:106" s="68" customFormat="1" ht="199.5" x14ac:dyDescent="0.2">
      <c r="A90" s="16"/>
      <c r="C90" s="525"/>
      <c r="D90" s="525"/>
      <c r="E90" s="524"/>
      <c r="F90" s="525"/>
      <c r="G90" s="525"/>
      <c r="H90" s="525"/>
      <c r="I90" s="525"/>
      <c r="J90" s="1602"/>
      <c r="K90" s="1528"/>
      <c r="L90" s="605"/>
      <c r="M90" s="605"/>
      <c r="N90" s="605"/>
      <c r="O90" s="605"/>
      <c r="P90" s="1528"/>
      <c r="Q90" s="1605"/>
      <c r="R90" s="1605"/>
      <c r="S90" s="1620"/>
      <c r="T90" s="1620"/>
      <c r="U90" s="21" t="s">
        <v>701</v>
      </c>
      <c r="V90" s="603" t="s">
        <v>137</v>
      </c>
      <c r="W90" s="1336"/>
      <c r="X90" s="1336"/>
      <c r="Y90" s="1113"/>
      <c r="Z90" s="1337"/>
      <c r="AA90" s="77"/>
      <c r="AB90" s="591">
        <v>100</v>
      </c>
      <c r="AC90" s="591">
        <v>0</v>
      </c>
      <c r="AD90" s="1330">
        <f t="shared" si="36"/>
        <v>0</v>
      </c>
      <c r="AE90" s="1340" t="s">
        <v>1284</v>
      </c>
      <c r="AF90" s="1339">
        <v>25</v>
      </c>
      <c r="AG90" s="591"/>
      <c r="AH90" s="591"/>
      <c r="AI90" s="604">
        <f>+W90+AB90+AG90+AH90</f>
        <v>100</v>
      </c>
      <c r="AJ90" s="1157">
        <f>+AC90</f>
        <v>0</v>
      </c>
      <c r="AK90" s="424">
        <f t="shared" si="37"/>
        <v>0</v>
      </c>
      <c r="AL90" s="1310"/>
      <c r="AM90" s="1412"/>
      <c r="AN90" s="560"/>
      <c r="AO90" s="1423"/>
      <c r="AP90" s="1423"/>
      <c r="AQ90" s="1423"/>
      <c r="AR90" s="1508"/>
      <c r="AS90" s="1428"/>
      <c r="AT90" s="1428"/>
      <c r="AU90" s="1421"/>
      <c r="AV90" s="1421"/>
      <c r="AW90" s="1421"/>
      <c r="AX90" s="1415"/>
      <c r="AY90" s="1425"/>
      <c r="AZ90" s="1425"/>
      <c r="BA90" s="1425"/>
      <c r="BB90" s="1425"/>
      <c r="BC90" s="1425"/>
      <c r="BD90" s="1390"/>
      <c r="BE90" s="1390"/>
      <c r="BF90" s="1398"/>
      <c r="BG90" s="1390"/>
      <c r="BH90" s="1390"/>
      <c r="BI90" s="1390"/>
      <c r="BJ90" s="1390"/>
      <c r="BK90" s="1390"/>
      <c r="BL90" s="1390"/>
      <c r="BM90" s="1390"/>
      <c r="BN90" s="1390"/>
      <c r="BO90" s="1390"/>
      <c r="BP90" s="1390"/>
      <c r="BQ90" s="1390"/>
      <c r="BR90" s="1390"/>
      <c r="BS90" s="1390"/>
      <c r="BT90" s="1390"/>
      <c r="BU90" s="1390"/>
      <c r="BV90" s="1390"/>
      <c r="BW90" s="1390"/>
      <c r="BX90" s="1390"/>
      <c r="BY90" s="1390"/>
      <c r="BZ90" s="1403"/>
      <c r="CA90" s="1403"/>
      <c r="CB90" s="1438"/>
      <c r="CC90" s="1610"/>
      <c r="CD90" s="1746"/>
      <c r="CE90" s="528"/>
      <c r="CF90" s="528"/>
      <c r="CG90" s="529"/>
      <c r="CH90" s="64"/>
      <c r="CI90" s="64"/>
      <c r="CJ90" s="64"/>
      <c r="CL90" s="252"/>
      <c r="CN90" s="534"/>
      <c r="CX90" s="911">
        <f t="shared" si="24"/>
        <v>0</v>
      </c>
      <c r="CY90" s="1010"/>
      <c r="DA90" s="1109"/>
    </row>
    <row r="91" spans="1:106" s="68" customFormat="1" ht="101.25" x14ac:dyDescent="0.2">
      <c r="A91" s="16" t="s">
        <v>62</v>
      </c>
      <c r="C91" s="525"/>
      <c r="D91" s="525"/>
      <c r="E91" s="524"/>
      <c r="F91" s="525"/>
      <c r="G91" s="525"/>
      <c r="H91" s="525"/>
      <c r="I91" s="525"/>
      <c r="J91" s="1602"/>
      <c r="K91" s="1526" t="s">
        <v>421</v>
      </c>
      <c r="L91" s="605"/>
      <c r="M91" s="605"/>
      <c r="N91" s="605"/>
      <c r="O91" s="605"/>
      <c r="P91" s="1526" t="s">
        <v>629</v>
      </c>
      <c r="Q91" s="1611">
        <v>20</v>
      </c>
      <c r="R91" s="1611">
        <v>10</v>
      </c>
      <c r="S91" s="1611">
        <v>50</v>
      </c>
      <c r="T91" s="1611">
        <v>100</v>
      </c>
      <c r="U91" s="21" t="s">
        <v>701</v>
      </c>
      <c r="V91" s="603" t="s">
        <v>137</v>
      </c>
      <c r="W91" s="591">
        <v>56</v>
      </c>
      <c r="X91" s="591">
        <v>0</v>
      </c>
      <c r="Y91" s="1302">
        <f>(((X91/W91*100)*AL91)/100)</f>
        <v>0</v>
      </c>
      <c r="Z91" s="506"/>
      <c r="AA91" s="566">
        <f>+Y91</f>
        <v>0</v>
      </c>
      <c r="AB91" s="591">
        <v>30</v>
      </c>
      <c r="AC91" s="591">
        <v>0</v>
      </c>
      <c r="AD91" s="223">
        <f t="shared" si="36"/>
        <v>0</v>
      </c>
      <c r="AE91" s="1149" t="s">
        <v>1285</v>
      </c>
      <c r="AF91" s="591">
        <v>30</v>
      </c>
      <c r="AG91" s="591">
        <v>56</v>
      </c>
      <c r="AH91" s="591">
        <v>56</v>
      </c>
      <c r="AI91" s="604">
        <f>+W91+AB91+AG91+AH91</f>
        <v>198</v>
      </c>
      <c r="AJ91" s="223">
        <f>+X91+AC91</f>
        <v>0</v>
      </c>
      <c r="AK91" s="424">
        <f t="shared" si="37"/>
        <v>0</v>
      </c>
      <c r="AL91" s="1410">
        <v>20</v>
      </c>
      <c r="AM91" s="1410">
        <v>10</v>
      </c>
      <c r="AN91" s="606"/>
      <c r="AO91" s="1422">
        <v>140000000</v>
      </c>
      <c r="AP91" s="1422"/>
      <c r="AQ91" s="1422">
        <f>SUM(AO91:AP91)</f>
        <v>140000000</v>
      </c>
      <c r="AR91" s="1506">
        <v>147028000</v>
      </c>
      <c r="AS91" s="1426"/>
      <c r="AT91" s="1426">
        <f>+AR91+AS91</f>
        <v>147028000</v>
      </c>
      <c r="AU91" s="1509">
        <v>147028000</v>
      </c>
      <c r="AV91" s="1419"/>
      <c r="AW91" s="1419">
        <f>SUM(AU91:AV91)</f>
        <v>147028000</v>
      </c>
      <c r="AX91" s="1413">
        <v>0</v>
      </c>
      <c r="AY91" s="1407">
        <f>+AX91/AW91*100</f>
        <v>0</v>
      </c>
      <c r="AZ91" s="1407"/>
      <c r="BA91" s="1407">
        <f>+AZ91/AW91*100</f>
        <v>0</v>
      </c>
      <c r="BB91" s="1407"/>
      <c r="BC91" s="1407">
        <f>+BB91/AW91*100</f>
        <v>0</v>
      </c>
      <c r="BD91" s="1388">
        <v>95000000</v>
      </c>
      <c r="BE91" s="1388"/>
      <c r="BF91" s="1388"/>
      <c r="BG91" s="1388">
        <f>SUM(BD91:BF91)</f>
        <v>95000000</v>
      </c>
      <c r="BH91" s="1388">
        <v>74701195</v>
      </c>
      <c r="BI91" s="1388">
        <f>+BH91/BG91*100</f>
        <v>78.632836842105263</v>
      </c>
      <c r="BJ91" s="1388">
        <v>0</v>
      </c>
      <c r="BK91" s="1388">
        <f>+BJ91/BG91*100</f>
        <v>0</v>
      </c>
      <c r="BL91" s="1388">
        <v>0</v>
      </c>
      <c r="BM91" s="1388">
        <f>+BL91/BG91*100</f>
        <v>0</v>
      </c>
      <c r="BN91" s="1388">
        <v>75000000</v>
      </c>
      <c r="BO91" s="1388"/>
      <c r="BP91" s="1388"/>
      <c r="BQ91" s="1388">
        <f>SUM(BN91:BP91)</f>
        <v>75000000</v>
      </c>
      <c r="BR91" s="1388">
        <v>140000000</v>
      </c>
      <c r="BS91" s="1388"/>
      <c r="BT91" s="1388"/>
      <c r="BU91" s="1388">
        <f>SUM(BR91:BT91)</f>
        <v>140000000</v>
      </c>
      <c r="BV91" s="1388">
        <v>140000000</v>
      </c>
      <c r="BW91" s="1388"/>
      <c r="BX91" s="1388"/>
      <c r="BY91" s="1388">
        <f>SUM(BV91:BX91)</f>
        <v>140000000</v>
      </c>
      <c r="BZ91" s="1401">
        <f>+AW91+BG91+BU91+BY91</f>
        <v>522028000</v>
      </c>
      <c r="CA91" s="1401">
        <f>+AX91+BH91</f>
        <v>74701195</v>
      </c>
      <c r="CB91" s="1434">
        <f>+CA91/BZ91*100</f>
        <v>14.309806178978906</v>
      </c>
      <c r="CC91" s="1436" t="s">
        <v>894</v>
      </c>
      <c r="CD91" s="1740" t="s">
        <v>1167</v>
      </c>
      <c r="CE91" s="542"/>
      <c r="CF91" s="528"/>
      <c r="CG91" s="529"/>
      <c r="CH91" s="64"/>
      <c r="CI91" s="64"/>
      <c r="CJ91" s="64"/>
      <c r="CL91" s="251"/>
      <c r="CX91" s="911">
        <f t="shared" si="24"/>
        <v>20000000</v>
      </c>
      <c r="CY91" s="1010"/>
      <c r="DA91" s="1109"/>
    </row>
    <row r="92" spans="1:106" s="68" customFormat="1" ht="114" customHeight="1" x14ac:dyDescent="0.2">
      <c r="A92" s="16"/>
      <c r="C92" s="525"/>
      <c r="D92" s="525"/>
      <c r="E92" s="524"/>
      <c r="F92" s="525"/>
      <c r="G92" s="525"/>
      <c r="H92" s="525"/>
      <c r="I92" s="525"/>
      <c r="J92" s="1602"/>
      <c r="K92" s="1527"/>
      <c r="L92" s="605"/>
      <c r="M92" s="605"/>
      <c r="N92" s="605"/>
      <c r="O92" s="605"/>
      <c r="P92" s="1528"/>
      <c r="Q92" s="1612"/>
      <c r="R92" s="1612"/>
      <c r="S92" s="1612"/>
      <c r="T92" s="1612"/>
      <c r="U92" s="35" t="s">
        <v>418</v>
      </c>
      <c r="V92" s="603" t="s">
        <v>507</v>
      </c>
      <c r="W92" s="591">
        <v>28</v>
      </c>
      <c r="X92" s="591">
        <v>0</v>
      </c>
      <c r="Y92" s="1302">
        <f>(((X92/W92*100)*AL91)/100)</f>
        <v>0</v>
      </c>
      <c r="Z92" s="506"/>
      <c r="AA92" s="566">
        <f>+Y92</f>
        <v>0</v>
      </c>
      <c r="AB92" s="591">
        <v>15</v>
      </c>
      <c r="AC92" s="591">
        <v>0</v>
      </c>
      <c r="AD92" s="223">
        <f t="shared" si="36"/>
        <v>0</v>
      </c>
      <c r="AE92" s="1134" t="s">
        <v>1286</v>
      </c>
      <c r="AF92" s="591">
        <v>30</v>
      </c>
      <c r="AG92" s="591">
        <v>28</v>
      </c>
      <c r="AH92" s="591">
        <v>28</v>
      </c>
      <c r="AI92" s="604">
        <f>+W92+AB92+AG92+AH92</f>
        <v>99</v>
      </c>
      <c r="AJ92" s="223">
        <f>+X92+AC92</f>
        <v>0</v>
      </c>
      <c r="AK92" s="424">
        <f t="shared" si="37"/>
        <v>0</v>
      </c>
      <c r="AL92" s="1412"/>
      <c r="AM92" s="1412"/>
      <c r="AN92" s="607"/>
      <c r="AO92" s="1423"/>
      <c r="AP92" s="1423"/>
      <c r="AQ92" s="1423"/>
      <c r="AR92" s="1508"/>
      <c r="AS92" s="1428"/>
      <c r="AT92" s="1428"/>
      <c r="AU92" s="1511"/>
      <c r="AV92" s="1421"/>
      <c r="AW92" s="1421"/>
      <c r="AX92" s="1415"/>
      <c r="AY92" s="1425"/>
      <c r="AZ92" s="1425"/>
      <c r="BA92" s="1425"/>
      <c r="BB92" s="1425"/>
      <c r="BC92" s="1425"/>
      <c r="BD92" s="1390"/>
      <c r="BE92" s="1390"/>
      <c r="BF92" s="1390"/>
      <c r="BG92" s="1390"/>
      <c r="BH92" s="1390"/>
      <c r="BI92" s="1390"/>
      <c r="BJ92" s="1390"/>
      <c r="BK92" s="1390"/>
      <c r="BL92" s="1390"/>
      <c r="BM92" s="1390"/>
      <c r="BN92" s="1390"/>
      <c r="BO92" s="1390"/>
      <c r="BP92" s="1390"/>
      <c r="BQ92" s="1390"/>
      <c r="BR92" s="1390"/>
      <c r="BS92" s="1390"/>
      <c r="BT92" s="1390"/>
      <c r="BU92" s="1390"/>
      <c r="BV92" s="1390"/>
      <c r="BW92" s="1390"/>
      <c r="BX92" s="1390"/>
      <c r="BY92" s="1390"/>
      <c r="BZ92" s="1403"/>
      <c r="CA92" s="1403"/>
      <c r="CB92" s="1438"/>
      <c r="CC92" s="1439"/>
      <c r="CD92" s="1746"/>
      <c r="CE92" s="542"/>
      <c r="CF92" s="528"/>
      <c r="CG92" s="529"/>
      <c r="CH92" s="64"/>
      <c r="CI92" s="64"/>
      <c r="CJ92" s="64"/>
      <c r="CL92" s="252"/>
      <c r="CX92" s="911">
        <f t="shared" si="24"/>
        <v>0</v>
      </c>
      <c r="CY92" s="1052"/>
      <c r="CZ92" s="1050"/>
      <c r="DA92" s="1117"/>
    </row>
    <row r="93" spans="1:106" s="68" customFormat="1" ht="91.5" customHeight="1" x14ac:dyDescent="0.2">
      <c r="A93" s="16"/>
      <c r="C93" s="525"/>
      <c r="D93" s="525"/>
      <c r="E93" s="524"/>
      <c r="F93" s="525"/>
      <c r="G93" s="525"/>
      <c r="H93" s="525"/>
      <c r="I93" s="525"/>
      <c r="J93" s="1603"/>
      <c r="K93" s="1528"/>
      <c r="L93" s="587"/>
      <c r="M93" s="587"/>
      <c r="N93" s="587"/>
      <c r="O93" s="587"/>
      <c r="P93" s="584" t="s">
        <v>598</v>
      </c>
      <c r="Q93" s="608"/>
      <c r="R93" s="608">
        <v>10</v>
      </c>
      <c r="S93" s="608">
        <v>50</v>
      </c>
      <c r="T93" s="608"/>
      <c r="U93" s="35" t="s">
        <v>702</v>
      </c>
      <c r="V93" s="603" t="s">
        <v>147</v>
      </c>
      <c r="W93" s="591"/>
      <c r="X93" s="591"/>
      <c r="Y93" s="1113"/>
      <c r="Z93" s="1134"/>
      <c r="AA93" s="1113"/>
      <c r="AB93" s="591">
        <v>50</v>
      </c>
      <c r="AC93" s="591">
        <v>0</v>
      </c>
      <c r="AD93" s="223">
        <f t="shared" si="36"/>
        <v>0</v>
      </c>
      <c r="AE93" s="1134" t="s">
        <v>1287</v>
      </c>
      <c r="AF93" s="591">
        <v>5</v>
      </c>
      <c r="AG93" s="591">
        <v>50</v>
      </c>
      <c r="AH93" s="591"/>
      <c r="AI93" s="604">
        <f>+W93+AB93+AG93+AH93</f>
        <v>100</v>
      </c>
      <c r="AJ93" s="1341"/>
      <c r="AK93" s="541">
        <f t="shared" si="37"/>
        <v>0</v>
      </c>
      <c r="AL93" s="1342"/>
      <c r="AM93" s="1342">
        <v>10</v>
      </c>
      <c r="AN93" s="607"/>
      <c r="AO93" s="252"/>
      <c r="AP93" s="252"/>
      <c r="AQ93" s="252">
        <f t="shared" ref="AQ93:AQ98" si="38">SUM(AO93:AP93)</f>
        <v>0</v>
      </c>
      <c r="AR93" s="609"/>
      <c r="AS93" s="609"/>
      <c r="AT93" s="609"/>
      <c r="AU93" s="711"/>
      <c r="AV93" s="711"/>
      <c r="AW93" s="711">
        <f t="shared" ref="AW93:AW98" si="39">SUM(AU93:AV93)</f>
        <v>0</v>
      </c>
      <c r="AX93" s="771"/>
      <c r="AY93" s="684">
        <v>0</v>
      </c>
      <c r="AZ93" s="679"/>
      <c r="BA93" s="684">
        <v>0</v>
      </c>
      <c r="BB93" s="679"/>
      <c r="BC93" s="685"/>
      <c r="BD93" s="1080">
        <v>10000000</v>
      </c>
      <c r="BE93" s="1024"/>
      <c r="BF93" s="1024"/>
      <c r="BG93" s="1024">
        <f t="shared" ref="BG93:BG98" si="40">SUM(BD93:BF93)</f>
        <v>10000000</v>
      </c>
      <c r="BH93" s="1024">
        <v>0</v>
      </c>
      <c r="BI93" s="1024">
        <f t="shared" ref="BI93:BI98" si="41">+BH93/BG93*100</f>
        <v>0</v>
      </c>
      <c r="BJ93" s="1028">
        <v>0</v>
      </c>
      <c r="BK93" s="1024">
        <f t="shared" ref="BK93:BK98" si="42">+BJ93/BG93*100</f>
        <v>0</v>
      </c>
      <c r="BL93" s="1028">
        <v>0</v>
      </c>
      <c r="BM93" s="978">
        <f t="shared" ref="BM93:BM98" si="43">+BL93/BG93*100</f>
        <v>0</v>
      </c>
      <c r="BN93" s="978">
        <v>30000000</v>
      </c>
      <c r="BO93" s="978"/>
      <c r="BP93" s="978"/>
      <c r="BQ93" s="978">
        <f t="shared" ref="BQ93:BQ98" si="44">SUM(BN93:BP93)</f>
        <v>30000000</v>
      </c>
      <c r="BR93" s="978">
        <v>30000000</v>
      </c>
      <c r="BS93" s="978"/>
      <c r="BT93" s="978"/>
      <c r="BU93" s="978">
        <f t="shared" ref="BU93:BU98" si="45">SUM(BR93:BT93)</f>
        <v>30000000</v>
      </c>
      <c r="BV93" s="978"/>
      <c r="BW93" s="978"/>
      <c r="BX93" s="978"/>
      <c r="BY93" s="978">
        <f t="shared" ref="BY93:BY98" si="46">SUM(BV93:BX93)</f>
        <v>0</v>
      </c>
      <c r="BZ93" s="967">
        <f>+AW93+BG93+BU93+BY93</f>
        <v>40000000</v>
      </c>
      <c r="CA93" s="981">
        <f>+BH93+AX93</f>
        <v>0</v>
      </c>
      <c r="CB93" s="985">
        <f t="shared" ref="CB93:CB98" si="47">+CA93/BZ93*100</f>
        <v>0</v>
      </c>
      <c r="CC93" s="910"/>
      <c r="CD93" s="1073" t="s">
        <v>1168</v>
      </c>
      <c r="CE93" s="528"/>
      <c r="CF93" s="528"/>
      <c r="CG93" s="529"/>
      <c r="CH93" s="64"/>
      <c r="CI93" s="64"/>
      <c r="CJ93" s="64"/>
      <c r="CL93" s="252"/>
      <c r="CX93" s="911">
        <f t="shared" si="24"/>
        <v>-20000000</v>
      </c>
      <c r="CY93" s="1052"/>
      <c r="CZ93" s="1050"/>
      <c r="DA93" s="1117"/>
    </row>
    <row r="94" spans="1:106" s="830" customFormat="1" ht="63" customHeight="1" x14ac:dyDescent="0.2">
      <c r="A94" s="814" t="s">
        <v>63</v>
      </c>
      <c r="C94" s="837"/>
      <c r="D94" s="837"/>
      <c r="E94" s="832"/>
      <c r="F94" s="837"/>
      <c r="G94" s="837"/>
      <c r="H94" s="837"/>
      <c r="I94" s="837"/>
      <c r="J94" s="1269" t="s">
        <v>831</v>
      </c>
      <c r="K94" s="1138"/>
      <c r="L94" s="1209">
        <v>35</v>
      </c>
      <c r="M94" s="1209">
        <v>35</v>
      </c>
      <c r="N94" s="1209">
        <v>35</v>
      </c>
      <c r="O94" s="1209">
        <v>35</v>
      </c>
      <c r="P94" s="1138"/>
      <c r="Q94" s="1262"/>
      <c r="R94" s="1262"/>
      <c r="S94" s="1262"/>
      <c r="T94" s="1262"/>
      <c r="U94" s="1270"/>
      <c r="V94" s="1271"/>
      <c r="W94" s="1272"/>
      <c r="X94" s="1272"/>
      <c r="Y94" s="1273">
        <f>(((Y95+Y96+Y97+Y98+Y100+Y102+Y103+Y104)*AL94)/100)</f>
        <v>31.186166666666665</v>
      </c>
      <c r="Z94" s="1273"/>
      <c r="AA94" s="1273">
        <f>((((AA95+AA96+AA97+AA98+AA100+AA102+AA103+AA104)/8)*AL94)/100)</f>
        <v>9.40625</v>
      </c>
      <c r="AB94" s="1273"/>
      <c r="AC94" s="1273"/>
      <c r="AD94" s="1273">
        <f>(((AD95+AD96+AD97+AD99+AD100+AD102+AD103+AD104)/8*AM94)/100)</f>
        <v>0</v>
      </c>
      <c r="AE94" s="1273"/>
      <c r="AF94" s="1273">
        <f>(AF95+AF96+AF97+AF99+AF100+AF102+AF103+AF104)/8</f>
        <v>53.125</v>
      </c>
      <c r="AG94" s="1273"/>
      <c r="AH94" s="1273"/>
      <c r="AI94" s="1273"/>
      <c r="AJ94" s="1273"/>
      <c r="AK94" s="1273">
        <f>((AK95+AK96+AK97+AK98+AK100+AK102+AK103+AK104)/8)</f>
        <v>32.717550505050497</v>
      </c>
      <c r="AL94" s="1273">
        <f>+L94</f>
        <v>35</v>
      </c>
      <c r="AM94" s="1273">
        <v>35</v>
      </c>
      <c r="AN94" s="1253"/>
      <c r="AO94" s="821">
        <f>SUM(AO95:AO104)</f>
        <v>1020000000</v>
      </c>
      <c r="AP94" s="821">
        <f>SUM(AP95:AP104)</f>
        <v>0</v>
      </c>
      <c r="AQ94" s="821">
        <f t="shared" si="38"/>
        <v>1020000000</v>
      </c>
      <c r="AR94" s="822">
        <f>SUM(AR95:AR104)</f>
        <v>1293715605</v>
      </c>
      <c r="AS94" s="822"/>
      <c r="AT94" s="822">
        <f>SUM(AT95:AT104)</f>
        <v>1293715605</v>
      </c>
      <c r="AU94" s="823">
        <f>SUM(AU95:AU104)</f>
        <v>1293715605</v>
      </c>
      <c r="AV94" s="823">
        <f>SUM(AV95:AV104)</f>
        <v>0</v>
      </c>
      <c r="AW94" s="823">
        <f t="shared" si="39"/>
        <v>1293715605</v>
      </c>
      <c r="AX94" s="824">
        <f>SUM(AX95:AX104)</f>
        <v>1065285631</v>
      </c>
      <c r="AY94" s="825">
        <f>+AX94/AW94*100</f>
        <v>82.343107471444625</v>
      </c>
      <c r="AZ94" s="826">
        <f>SUM(AZ95:AZ104)</f>
        <v>720557747</v>
      </c>
      <c r="BA94" s="825">
        <f>+AZ94/AW94*100</f>
        <v>55.696765519033839</v>
      </c>
      <c r="BB94" s="826">
        <f>SUM(BB95:BB104)</f>
        <v>709781984</v>
      </c>
      <c r="BC94" s="825">
        <f>+BB94/AW94*100</f>
        <v>54.863834157739788</v>
      </c>
      <c r="BD94" s="947">
        <f>SUM(BD95:BD104)</f>
        <v>744544620</v>
      </c>
      <c r="BE94" s="947">
        <f>SUM(BE95:BE104)</f>
        <v>0</v>
      </c>
      <c r="BF94" s="947">
        <f>SUM(BF95:BF104)</f>
        <v>0</v>
      </c>
      <c r="BG94" s="947">
        <f t="shared" si="40"/>
        <v>744544620</v>
      </c>
      <c r="BH94" s="947">
        <f>SUM(BH95:BH104)</f>
        <v>468118677</v>
      </c>
      <c r="BI94" s="947">
        <f t="shared" si="41"/>
        <v>62.873152854156679</v>
      </c>
      <c r="BJ94" s="947">
        <f>SUM(BJ95:BJ104)</f>
        <v>38878790</v>
      </c>
      <c r="BK94" s="947">
        <f t="shared" si="42"/>
        <v>5.2218213597460421</v>
      </c>
      <c r="BL94" s="947">
        <f>SUM(BL95:BL104)</f>
        <v>38878790</v>
      </c>
      <c r="BM94" s="947">
        <f t="shared" si="43"/>
        <v>5.2218213597460421</v>
      </c>
      <c r="BN94" s="947">
        <f>SUM(BN95:BN104)</f>
        <v>955384620</v>
      </c>
      <c r="BO94" s="947">
        <f>SUM(BO95:BO104)</f>
        <v>0</v>
      </c>
      <c r="BP94" s="947">
        <f>SUM(BP95:BP104)</f>
        <v>0</v>
      </c>
      <c r="BQ94" s="947">
        <f t="shared" si="44"/>
        <v>955384620</v>
      </c>
      <c r="BR94" s="947">
        <f>SUM(BR95:BR104)</f>
        <v>1029000000</v>
      </c>
      <c r="BS94" s="947">
        <f>SUM(BS95:BS104)</f>
        <v>0</v>
      </c>
      <c r="BT94" s="947">
        <f>SUM(BT95:BT104)</f>
        <v>0</v>
      </c>
      <c r="BU94" s="947">
        <f t="shared" si="45"/>
        <v>1029000000</v>
      </c>
      <c r="BV94" s="947">
        <f>SUM(BV95:BV104)</f>
        <v>849230780</v>
      </c>
      <c r="BW94" s="947">
        <f>SUM(BW95:BW104)</f>
        <v>0</v>
      </c>
      <c r="BX94" s="947">
        <f>SUM(BX95:BX104)</f>
        <v>0</v>
      </c>
      <c r="BY94" s="947">
        <f t="shared" si="46"/>
        <v>849230780</v>
      </c>
      <c r="BZ94" s="948">
        <f>SUM(BZ95:BZ104)</f>
        <v>3916491005</v>
      </c>
      <c r="CA94" s="948">
        <f>SUM(CA95:CA104)</f>
        <v>1533404308</v>
      </c>
      <c r="CB94" s="949">
        <f t="shared" si="47"/>
        <v>39.152504270847935</v>
      </c>
      <c r="CC94" s="827"/>
      <c r="CD94" s="825"/>
      <c r="CE94" s="828"/>
      <c r="CF94" s="834">
        <f>SUM(BZ95:BZ104)</f>
        <v>3916491005</v>
      </c>
      <c r="CG94" s="845">
        <v>273715605</v>
      </c>
      <c r="CH94" s="846"/>
      <c r="CI94" s="846"/>
      <c r="CJ94" s="846"/>
      <c r="CL94" s="821"/>
      <c r="CX94" s="911">
        <f t="shared" si="24"/>
        <v>-210840000</v>
      </c>
      <c r="CY94" s="1009"/>
      <c r="DA94" s="1067"/>
    </row>
    <row r="95" spans="1:106" s="68" customFormat="1" ht="135" x14ac:dyDescent="0.2">
      <c r="A95" s="16" t="s">
        <v>64</v>
      </c>
      <c r="C95" s="525"/>
      <c r="D95" s="525"/>
      <c r="E95" s="524"/>
      <c r="F95" s="525"/>
      <c r="G95" s="525"/>
      <c r="H95" s="525"/>
      <c r="I95" s="525"/>
      <c r="J95" s="1606"/>
      <c r="K95" s="16" t="s">
        <v>421</v>
      </c>
      <c r="L95" s="519"/>
      <c r="M95" s="519"/>
      <c r="N95" s="519"/>
      <c r="O95" s="519"/>
      <c r="P95" s="750" t="s">
        <v>510</v>
      </c>
      <c r="Q95" s="559">
        <v>10</v>
      </c>
      <c r="R95" s="559">
        <v>10</v>
      </c>
      <c r="S95" s="559">
        <v>10</v>
      </c>
      <c r="T95" s="559">
        <v>10</v>
      </c>
      <c r="U95" s="750" t="s">
        <v>1135</v>
      </c>
      <c r="V95" s="603" t="s">
        <v>147</v>
      </c>
      <c r="W95" s="591">
        <v>100</v>
      </c>
      <c r="X95" s="591">
        <v>7.7</v>
      </c>
      <c r="Y95" s="1113">
        <f>(((X95/W95*100)*AL95)/100)</f>
        <v>0.77</v>
      </c>
      <c r="Z95" s="564" t="s">
        <v>1126</v>
      </c>
      <c r="AA95" s="1113">
        <v>10</v>
      </c>
      <c r="AB95" s="591">
        <v>100</v>
      </c>
      <c r="AC95" s="591">
        <v>0</v>
      </c>
      <c r="AD95" s="223">
        <f t="shared" ref="AD95:AD100" si="48">(((AC95/AB95*100)*AM95)/100)</f>
        <v>0</v>
      </c>
      <c r="AE95" s="1134" t="s">
        <v>1288</v>
      </c>
      <c r="AF95" s="591">
        <v>50</v>
      </c>
      <c r="AG95" s="591">
        <v>100</v>
      </c>
      <c r="AH95" s="591">
        <v>100</v>
      </c>
      <c r="AI95" s="592">
        <v>100</v>
      </c>
      <c r="AJ95" s="1136">
        <f>+X95+AC95</f>
        <v>7.7</v>
      </c>
      <c r="AK95" s="753">
        <f t="shared" ref="AK95:AK104" si="49">+AJ95/AI95*100</f>
        <v>7.7</v>
      </c>
      <c r="AL95" s="1135">
        <v>10</v>
      </c>
      <c r="AM95" s="1135">
        <v>10</v>
      </c>
      <c r="AN95" s="564" t="s">
        <v>1136</v>
      </c>
      <c r="AO95" s="183">
        <v>120000000</v>
      </c>
      <c r="AP95" s="183"/>
      <c r="AQ95" s="183">
        <f t="shared" si="38"/>
        <v>120000000</v>
      </c>
      <c r="AR95" s="582">
        <v>120000000</v>
      </c>
      <c r="AS95" s="411"/>
      <c r="AT95" s="411">
        <f>+AS95+AR95</f>
        <v>120000000</v>
      </c>
      <c r="AU95" s="709">
        <v>120000000</v>
      </c>
      <c r="AV95" s="710"/>
      <c r="AW95" s="710">
        <f t="shared" si="39"/>
        <v>120000000</v>
      </c>
      <c r="AX95" s="778">
        <v>119773088</v>
      </c>
      <c r="AY95" s="676">
        <f>+AX95/AW95*100</f>
        <v>99.810906666666668</v>
      </c>
      <c r="AZ95" s="672">
        <v>19910200</v>
      </c>
      <c r="BA95" s="676">
        <f>+AZ95/AW95*100</f>
        <v>16.591833333333334</v>
      </c>
      <c r="BB95" s="672">
        <v>19910200</v>
      </c>
      <c r="BC95" s="676">
        <f>+BB95/AW95*100</f>
        <v>16.591833333333334</v>
      </c>
      <c r="BD95" s="1031">
        <v>55384620</v>
      </c>
      <c r="BE95" s="1031"/>
      <c r="BF95" s="1031"/>
      <c r="BG95" s="1031">
        <f t="shared" si="40"/>
        <v>55384620</v>
      </c>
      <c r="BH95" s="1080">
        <v>54925112</v>
      </c>
      <c r="BI95" s="1031">
        <f t="shared" si="41"/>
        <v>99.170332846916708</v>
      </c>
      <c r="BJ95" s="1034">
        <v>0</v>
      </c>
      <c r="BK95" s="1031">
        <f t="shared" si="42"/>
        <v>0</v>
      </c>
      <c r="BL95" s="1034">
        <v>0</v>
      </c>
      <c r="BM95" s="964">
        <f t="shared" si="43"/>
        <v>0</v>
      </c>
      <c r="BN95" s="964">
        <v>55384620</v>
      </c>
      <c r="BO95" s="964"/>
      <c r="BP95" s="964"/>
      <c r="BQ95" s="964">
        <f t="shared" si="44"/>
        <v>55384620</v>
      </c>
      <c r="BR95" s="964">
        <v>129000000</v>
      </c>
      <c r="BS95" s="971"/>
      <c r="BT95" s="964"/>
      <c r="BU95" s="964">
        <f t="shared" si="45"/>
        <v>129000000</v>
      </c>
      <c r="BV95" s="964">
        <v>129230780</v>
      </c>
      <c r="BW95" s="964"/>
      <c r="BX95" s="964"/>
      <c r="BY95" s="964">
        <f t="shared" si="46"/>
        <v>129230780</v>
      </c>
      <c r="BZ95" s="967">
        <f>+AW95+BG95+BU95+BY95</f>
        <v>433615400</v>
      </c>
      <c r="CA95" s="981">
        <f>+BH95+AX95</f>
        <v>174698200</v>
      </c>
      <c r="CB95" s="966">
        <f t="shared" si="47"/>
        <v>40.288744357326792</v>
      </c>
      <c r="CC95" s="910"/>
      <c r="CD95" s="1035"/>
      <c r="CE95" s="528"/>
      <c r="CF95" s="528"/>
      <c r="CG95" s="529"/>
      <c r="CH95" s="64"/>
      <c r="CI95" s="64"/>
      <c r="CJ95" s="64"/>
      <c r="CL95" s="183"/>
      <c r="CX95" s="911">
        <f t="shared" si="24"/>
        <v>0</v>
      </c>
      <c r="CY95" s="1010"/>
      <c r="DA95" s="1109"/>
    </row>
    <row r="96" spans="1:106" s="68" customFormat="1" ht="247.5" x14ac:dyDescent="0.2">
      <c r="A96" s="21" t="s">
        <v>65</v>
      </c>
      <c r="C96" s="525"/>
      <c r="D96" s="525"/>
      <c r="E96" s="524"/>
      <c r="F96" s="525"/>
      <c r="G96" s="525"/>
      <c r="H96" s="525"/>
      <c r="I96" s="525"/>
      <c r="J96" s="1606"/>
      <c r="K96" s="21" t="s">
        <v>421</v>
      </c>
      <c r="L96" s="546"/>
      <c r="M96" s="546"/>
      <c r="N96" s="546"/>
      <c r="O96" s="546"/>
      <c r="P96" s="750" t="s">
        <v>747</v>
      </c>
      <c r="Q96" s="559">
        <v>10</v>
      </c>
      <c r="R96" s="559">
        <v>10</v>
      </c>
      <c r="S96" s="559">
        <v>10</v>
      </c>
      <c r="T96" s="559">
        <v>10</v>
      </c>
      <c r="U96" s="750" t="s">
        <v>704</v>
      </c>
      <c r="V96" s="603" t="s">
        <v>137</v>
      </c>
      <c r="W96" s="591">
        <v>1</v>
      </c>
      <c r="X96" s="591">
        <v>1</v>
      </c>
      <c r="Y96" s="1113">
        <f>(((X96/W96*100)*AL96)/100)</f>
        <v>10</v>
      </c>
      <c r="Z96" s="1134" t="s">
        <v>1061</v>
      </c>
      <c r="AA96" s="1113">
        <v>20</v>
      </c>
      <c r="AB96" s="591">
        <v>1</v>
      </c>
      <c r="AC96" s="591">
        <v>0</v>
      </c>
      <c r="AD96" s="223">
        <f t="shared" si="48"/>
        <v>0</v>
      </c>
      <c r="AE96" s="1134" t="s">
        <v>1289</v>
      </c>
      <c r="AF96" s="591">
        <v>75</v>
      </c>
      <c r="AG96" s="591">
        <v>1</v>
      </c>
      <c r="AH96" s="591">
        <v>1</v>
      </c>
      <c r="AI96" s="592">
        <f>+AH96+AG96+AB96+W96</f>
        <v>4</v>
      </c>
      <c r="AJ96" s="1136">
        <f>+X96+AC96</f>
        <v>1</v>
      </c>
      <c r="AK96" s="753">
        <f t="shared" si="49"/>
        <v>25</v>
      </c>
      <c r="AL96" s="1135">
        <v>10</v>
      </c>
      <c r="AM96" s="1135">
        <v>10</v>
      </c>
      <c r="AN96" s="644"/>
      <c r="AO96" s="183">
        <v>70000000</v>
      </c>
      <c r="AP96" s="183"/>
      <c r="AQ96" s="183">
        <f t="shared" si="38"/>
        <v>70000000</v>
      </c>
      <c r="AR96" s="582">
        <v>234706200</v>
      </c>
      <c r="AS96" s="411"/>
      <c r="AT96" s="411">
        <f>+AS96+AR96</f>
        <v>234706200</v>
      </c>
      <c r="AU96" s="710">
        <v>234706200</v>
      </c>
      <c r="AV96" s="710"/>
      <c r="AW96" s="710">
        <f t="shared" si="39"/>
        <v>234706200</v>
      </c>
      <c r="AX96" s="776">
        <v>121668233</v>
      </c>
      <c r="AY96" s="675">
        <f>+AX96/AW96*100</f>
        <v>51.838525356381723</v>
      </c>
      <c r="AZ96" s="672">
        <v>14844900</v>
      </c>
      <c r="BA96" s="675">
        <f>+AZ96/AW96*100</f>
        <v>6.3248861768457756</v>
      </c>
      <c r="BB96" s="672">
        <v>14844900</v>
      </c>
      <c r="BC96" s="675">
        <f>+BB96/AW96*100</f>
        <v>6.3248861768457756</v>
      </c>
      <c r="BD96" s="1031">
        <v>70000000</v>
      </c>
      <c r="BE96" s="1031"/>
      <c r="BF96" s="1031"/>
      <c r="BG96" s="1031">
        <f t="shared" si="40"/>
        <v>70000000</v>
      </c>
      <c r="BH96" s="1079">
        <v>69719958</v>
      </c>
      <c r="BI96" s="1031">
        <f t="shared" si="41"/>
        <v>99.599940000000004</v>
      </c>
      <c r="BJ96" s="1032">
        <v>0</v>
      </c>
      <c r="BK96" s="1031">
        <f t="shared" si="42"/>
        <v>0</v>
      </c>
      <c r="BL96" s="1032">
        <v>0</v>
      </c>
      <c r="BM96" s="964">
        <f t="shared" si="43"/>
        <v>0</v>
      </c>
      <c r="BN96" s="964">
        <v>70000000</v>
      </c>
      <c r="BO96" s="964"/>
      <c r="BP96" s="964"/>
      <c r="BQ96" s="964">
        <f t="shared" si="44"/>
        <v>70000000</v>
      </c>
      <c r="BR96" s="964">
        <v>70000000</v>
      </c>
      <c r="BS96" s="964"/>
      <c r="BT96" s="971"/>
      <c r="BU96" s="964">
        <f t="shared" si="45"/>
        <v>70000000</v>
      </c>
      <c r="BV96" s="964">
        <v>70000000</v>
      </c>
      <c r="BW96" s="964"/>
      <c r="BX96" s="964"/>
      <c r="BY96" s="964">
        <f t="shared" si="46"/>
        <v>70000000</v>
      </c>
      <c r="BZ96" s="967">
        <f>+AW96+BG96+BU96+BY96</f>
        <v>444706200</v>
      </c>
      <c r="CA96" s="981">
        <f>+BH96+AX96</f>
        <v>191388191</v>
      </c>
      <c r="CB96" s="970">
        <f t="shared" si="47"/>
        <v>43.03699633600791</v>
      </c>
      <c r="CC96" s="695" t="s">
        <v>895</v>
      </c>
      <c r="CD96" s="1033"/>
      <c r="CE96" s="528"/>
      <c r="CF96" s="528"/>
      <c r="CG96" s="529"/>
      <c r="CH96" s="64"/>
      <c r="CI96" s="64"/>
      <c r="CJ96" s="64"/>
      <c r="CL96" s="183"/>
      <c r="CX96" s="911">
        <f t="shared" si="24"/>
        <v>0</v>
      </c>
      <c r="CY96" s="1010"/>
      <c r="DA96" s="1109"/>
    </row>
    <row r="97" spans="1:107" s="68" customFormat="1" ht="202.5" x14ac:dyDescent="0.2">
      <c r="A97" s="21" t="s">
        <v>66</v>
      </c>
      <c r="C97" s="525"/>
      <c r="D97" s="525"/>
      <c r="E97" s="524"/>
      <c r="F97" s="525"/>
      <c r="G97" s="525"/>
      <c r="H97" s="525"/>
      <c r="I97" s="525"/>
      <c r="J97" s="1606"/>
      <c r="K97" s="21" t="s">
        <v>739</v>
      </c>
      <c r="L97" s="520"/>
      <c r="M97" s="520"/>
      <c r="N97" s="520"/>
      <c r="O97" s="520"/>
      <c r="P97" s="750" t="s">
        <v>705</v>
      </c>
      <c r="Q97" s="559">
        <v>20</v>
      </c>
      <c r="R97" s="559">
        <v>20</v>
      </c>
      <c r="S97" s="559">
        <v>20</v>
      </c>
      <c r="T97" s="559">
        <v>20</v>
      </c>
      <c r="U97" s="750" t="s">
        <v>738</v>
      </c>
      <c r="V97" s="603" t="s">
        <v>137</v>
      </c>
      <c r="W97" s="591">
        <v>4</v>
      </c>
      <c r="X97" s="591">
        <v>4</v>
      </c>
      <c r="Y97" s="1113">
        <f>(((X97/W97*100)*AL97)/100)</f>
        <v>20</v>
      </c>
      <c r="Z97" s="1134" t="s">
        <v>1062</v>
      </c>
      <c r="AA97" s="1113">
        <v>30</v>
      </c>
      <c r="AB97" s="591">
        <v>4</v>
      </c>
      <c r="AC97" s="591">
        <v>0</v>
      </c>
      <c r="AD97" s="223">
        <f t="shared" si="48"/>
        <v>0</v>
      </c>
      <c r="AE97" s="1134" t="s">
        <v>1290</v>
      </c>
      <c r="AF97" s="591">
        <v>50</v>
      </c>
      <c r="AG97" s="591">
        <v>4</v>
      </c>
      <c r="AH97" s="591">
        <v>4</v>
      </c>
      <c r="AI97" s="592">
        <v>4</v>
      </c>
      <c r="AJ97" s="1136">
        <f>+X97+AC97</f>
        <v>4</v>
      </c>
      <c r="AK97" s="753">
        <v>25</v>
      </c>
      <c r="AL97" s="1135">
        <v>20</v>
      </c>
      <c r="AM97" s="1135">
        <v>20</v>
      </c>
      <c r="AN97" s="750" t="s">
        <v>706</v>
      </c>
      <c r="AO97" s="183">
        <v>130000000</v>
      </c>
      <c r="AP97" s="183"/>
      <c r="AQ97" s="518">
        <f t="shared" si="38"/>
        <v>130000000</v>
      </c>
      <c r="AR97" s="581">
        <v>180200000</v>
      </c>
      <c r="AS97" s="411"/>
      <c r="AT97" s="411">
        <f>+AS97+AR97</f>
        <v>180200000</v>
      </c>
      <c r="AU97" s="710">
        <v>180200000</v>
      </c>
      <c r="AV97" s="710"/>
      <c r="AW97" s="711">
        <f t="shared" si="39"/>
        <v>180200000</v>
      </c>
      <c r="AX97" s="776">
        <v>138949551</v>
      </c>
      <c r="AY97" s="680">
        <f>+AX97/AW97*100</f>
        <v>77.108518867924531</v>
      </c>
      <c r="AZ97" s="686">
        <v>81983123</v>
      </c>
      <c r="BA97" s="680">
        <f>+AZ97/AW97*100</f>
        <v>45.495628745837955</v>
      </c>
      <c r="BB97" s="672">
        <v>78207248</v>
      </c>
      <c r="BC97" s="680">
        <f>+BB97/AW97*100</f>
        <v>43.400248612652611</v>
      </c>
      <c r="BD97" s="1031">
        <v>100000000</v>
      </c>
      <c r="BE97" s="1031"/>
      <c r="BF97" s="1031"/>
      <c r="BG97" s="1031">
        <f t="shared" si="40"/>
        <v>100000000</v>
      </c>
      <c r="BH97" s="1079">
        <v>68655848</v>
      </c>
      <c r="BI97" s="1031">
        <f t="shared" si="41"/>
        <v>68.655847999999992</v>
      </c>
      <c r="BJ97" s="1079">
        <v>13363930</v>
      </c>
      <c r="BK97" s="1031">
        <f t="shared" si="42"/>
        <v>13.363929999999998</v>
      </c>
      <c r="BL97" s="1079">
        <v>13363930</v>
      </c>
      <c r="BM97" s="964">
        <f t="shared" si="43"/>
        <v>13.363929999999998</v>
      </c>
      <c r="BN97" s="964">
        <v>100000000</v>
      </c>
      <c r="BO97" s="964"/>
      <c r="BP97" s="964"/>
      <c r="BQ97" s="964">
        <f t="shared" si="44"/>
        <v>100000000</v>
      </c>
      <c r="BR97" s="964">
        <v>100000000</v>
      </c>
      <c r="BS97" s="964"/>
      <c r="BT97" s="964"/>
      <c r="BU97" s="964">
        <f t="shared" si="45"/>
        <v>100000000</v>
      </c>
      <c r="BV97" s="964">
        <v>150000000</v>
      </c>
      <c r="BW97" s="964"/>
      <c r="BX97" s="964"/>
      <c r="BY97" s="964">
        <f t="shared" si="46"/>
        <v>150000000</v>
      </c>
      <c r="BZ97" s="967">
        <f>+AW97+BG97+BU97+BY97</f>
        <v>530200000</v>
      </c>
      <c r="CA97" s="981">
        <f>+BH97+AX97</f>
        <v>207605399</v>
      </c>
      <c r="CB97" s="970">
        <f t="shared" si="47"/>
        <v>39.156054130516786</v>
      </c>
      <c r="CC97" s="695" t="s">
        <v>896</v>
      </c>
      <c r="CD97" s="1033"/>
      <c r="CE97" s="528"/>
      <c r="CF97" s="528"/>
      <c r="CG97" s="529"/>
      <c r="CH97" s="64"/>
      <c r="CI97" s="64"/>
      <c r="CJ97" s="64"/>
      <c r="CL97" s="528"/>
      <c r="CX97" s="911">
        <f t="shared" si="24"/>
        <v>0</v>
      </c>
      <c r="CY97" s="1010"/>
      <c r="DA97" s="1109"/>
    </row>
    <row r="98" spans="1:107" s="68" customFormat="1" ht="195" hidden="1" customHeight="1" x14ac:dyDescent="0.2">
      <c r="A98" s="21" t="s">
        <v>67</v>
      </c>
      <c r="C98" s="525"/>
      <c r="D98" s="525"/>
      <c r="E98" s="524"/>
      <c r="F98" s="525"/>
      <c r="G98" s="525"/>
      <c r="H98" s="525"/>
      <c r="I98" s="525"/>
      <c r="J98" s="1606"/>
      <c r="K98" s="21" t="s">
        <v>742</v>
      </c>
      <c r="L98" s="520"/>
      <c r="M98" s="520"/>
      <c r="N98" s="520"/>
      <c r="O98" s="520"/>
      <c r="P98" s="1526" t="s">
        <v>127</v>
      </c>
      <c r="Q98" s="1604">
        <v>15</v>
      </c>
      <c r="R98" s="1604">
        <v>15</v>
      </c>
      <c r="S98" s="1604">
        <v>15</v>
      </c>
      <c r="T98" s="1604">
        <v>15</v>
      </c>
      <c r="U98" s="750" t="s">
        <v>743</v>
      </c>
      <c r="V98" s="603" t="s">
        <v>147</v>
      </c>
      <c r="W98" s="591">
        <v>100</v>
      </c>
      <c r="X98" s="591">
        <v>100</v>
      </c>
      <c r="Y98" s="1113">
        <f>(((X98/W98*100)*AL98)/100)</f>
        <v>15</v>
      </c>
      <c r="Z98" s="1134" t="s">
        <v>1063</v>
      </c>
      <c r="AA98" s="1113">
        <f>+X98</f>
        <v>100</v>
      </c>
      <c r="AB98" s="591"/>
      <c r="AC98" s="591"/>
      <c r="AD98" s="223"/>
      <c r="AE98" s="1134"/>
      <c r="AF98" s="591"/>
      <c r="AG98" s="591"/>
      <c r="AH98" s="591"/>
      <c r="AI98" s="592">
        <f>+AH98+AG98+AB98+W98</f>
        <v>100</v>
      </c>
      <c r="AJ98" s="1136">
        <v>100</v>
      </c>
      <c r="AK98" s="753">
        <f t="shared" si="49"/>
        <v>100</v>
      </c>
      <c r="AL98" s="1135">
        <v>15</v>
      </c>
      <c r="AM98" s="1135">
        <v>15</v>
      </c>
      <c r="AN98" s="750" t="s">
        <v>740</v>
      </c>
      <c r="AO98" s="1422">
        <v>250000000</v>
      </c>
      <c r="AP98" s="1422"/>
      <c r="AQ98" s="1422">
        <f t="shared" si="38"/>
        <v>250000000</v>
      </c>
      <c r="AR98" s="1506">
        <v>308809405</v>
      </c>
      <c r="AS98" s="1426"/>
      <c r="AT98" s="1426">
        <f>+AS98+AR98</f>
        <v>308809405</v>
      </c>
      <c r="AU98" s="1419">
        <v>308809405</v>
      </c>
      <c r="AV98" s="1419"/>
      <c r="AW98" s="1419">
        <f t="shared" si="39"/>
        <v>308809405</v>
      </c>
      <c r="AX98" s="1595">
        <v>254736349</v>
      </c>
      <c r="AY98" s="1597">
        <f>+AX98/AW98*100</f>
        <v>82.48982863718156</v>
      </c>
      <c r="AZ98" s="1516">
        <v>202814473</v>
      </c>
      <c r="BA98" s="1597">
        <f>+AZ98/AW98*100</f>
        <v>65.676261705824672</v>
      </c>
      <c r="BB98" s="1516">
        <v>202814473</v>
      </c>
      <c r="BC98" s="1597">
        <f>+BB98/AW98*100</f>
        <v>65.676261705824672</v>
      </c>
      <c r="BD98" s="1388">
        <v>250000000</v>
      </c>
      <c r="BE98" s="1388"/>
      <c r="BF98" s="1388"/>
      <c r="BG98" s="1388">
        <f t="shared" si="40"/>
        <v>250000000</v>
      </c>
      <c r="BH98" s="1388">
        <v>185289972</v>
      </c>
      <c r="BI98" s="1388">
        <f t="shared" si="41"/>
        <v>74.115988799999997</v>
      </c>
      <c r="BJ98" s="1388">
        <v>25514860</v>
      </c>
      <c r="BK98" s="1388">
        <f t="shared" si="42"/>
        <v>10.205944000000001</v>
      </c>
      <c r="BL98" s="1388">
        <v>25514860</v>
      </c>
      <c r="BM98" s="1388">
        <f t="shared" si="43"/>
        <v>10.205944000000001</v>
      </c>
      <c r="BN98" s="1388">
        <v>250000000</v>
      </c>
      <c r="BO98" s="1388"/>
      <c r="BP98" s="1388"/>
      <c r="BQ98" s="1388">
        <f t="shared" si="44"/>
        <v>250000000</v>
      </c>
      <c r="BR98" s="1388">
        <v>250000000</v>
      </c>
      <c r="BS98" s="1388"/>
      <c r="BT98" s="1388"/>
      <c r="BU98" s="1388">
        <f t="shared" si="45"/>
        <v>250000000</v>
      </c>
      <c r="BV98" s="1388">
        <v>250000000</v>
      </c>
      <c r="BW98" s="1388"/>
      <c r="BX98" s="1388"/>
      <c r="BY98" s="1388">
        <f t="shared" si="46"/>
        <v>250000000</v>
      </c>
      <c r="BZ98" s="1401">
        <f>+AW98+BG98+BU98+BY98</f>
        <v>1058809405</v>
      </c>
      <c r="CA98" s="1480">
        <f>+AX98+BH98</f>
        <v>440026321</v>
      </c>
      <c r="CB98" s="1594">
        <f t="shared" si="47"/>
        <v>41.558595807901796</v>
      </c>
      <c r="CC98" s="1436" t="s">
        <v>897</v>
      </c>
      <c r="CD98" s="1597"/>
      <c r="CE98" s="528"/>
      <c r="CF98" s="528"/>
      <c r="CG98" s="529"/>
      <c r="CH98" s="64"/>
      <c r="CI98" s="64"/>
      <c r="CJ98" s="64"/>
      <c r="CL98" s="610"/>
      <c r="CX98" s="911">
        <f t="shared" si="24"/>
        <v>0</v>
      </c>
      <c r="CY98" s="1010"/>
      <c r="DA98" s="1068"/>
    </row>
    <row r="99" spans="1:107" s="68" customFormat="1" ht="101.25" x14ac:dyDescent="0.2">
      <c r="A99" s="21"/>
      <c r="C99" s="525"/>
      <c r="D99" s="525"/>
      <c r="E99" s="524"/>
      <c r="F99" s="525"/>
      <c r="G99" s="525"/>
      <c r="H99" s="525"/>
      <c r="I99" s="525"/>
      <c r="J99" s="1606"/>
      <c r="K99" s="21" t="s">
        <v>839</v>
      </c>
      <c r="L99" s="520"/>
      <c r="M99" s="520"/>
      <c r="N99" s="520"/>
      <c r="O99" s="520"/>
      <c r="P99" s="1528"/>
      <c r="Q99" s="1605"/>
      <c r="R99" s="1605"/>
      <c r="S99" s="1605"/>
      <c r="T99" s="1605"/>
      <c r="U99" s="750" t="s">
        <v>1137</v>
      </c>
      <c r="V99" s="603" t="s">
        <v>147</v>
      </c>
      <c r="W99" s="591"/>
      <c r="X99" s="591"/>
      <c r="Y99" s="1113"/>
      <c r="Z99" s="1134"/>
      <c r="AA99" s="1113"/>
      <c r="AB99" s="591">
        <v>100</v>
      </c>
      <c r="AC99" s="591">
        <v>50</v>
      </c>
      <c r="AD99" s="223">
        <f t="shared" si="48"/>
        <v>0</v>
      </c>
      <c r="AE99" s="1134" t="s">
        <v>1291</v>
      </c>
      <c r="AF99" s="591">
        <v>50</v>
      </c>
      <c r="AG99" s="591">
        <v>100</v>
      </c>
      <c r="AH99" s="591">
        <v>100</v>
      </c>
      <c r="AI99" s="592">
        <v>100</v>
      </c>
      <c r="AJ99" s="77"/>
      <c r="AK99" s="753">
        <f t="shared" si="49"/>
        <v>0</v>
      </c>
      <c r="AL99" s="1135"/>
      <c r="AM99" s="1135"/>
      <c r="AN99" s="750" t="s">
        <v>741</v>
      </c>
      <c r="AO99" s="1423"/>
      <c r="AP99" s="1423"/>
      <c r="AQ99" s="1423"/>
      <c r="AR99" s="1508"/>
      <c r="AS99" s="1428"/>
      <c r="AT99" s="1428"/>
      <c r="AU99" s="1421"/>
      <c r="AV99" s="1421"/>
      <c r="AW99" s="1421"/>
      <c r="AX99" s="1596"/>
      <c r="AY99" s="1597"/>
      <c r="AZ99" s="1518"/>
      <c r="BA99" s="1597"/>
      <c r="BB99" s="1518"/>
      <c r="BC99" s="1597"/>
      <c r="BD99" s="1390"/>
      <c r="BE99" s="1390"/>
      <c r="BF99" s="1390"/>
      <c r="BG99" s="1390"/>
      <c r="BH99" s="1390"/>
      <c r="BI99" s="1390"/>
      <c r="BJ99" s="1390"/>
      <c r="BK99" s="1390"/>
      <c r="BL99" s="1390"/>
      <c r="BM99" s="1390"/>
      <c r="BN99" s="1390"/>
      <c r="BO99" s="1390"/>
      <c r="BP99" s="1390"/>
      <c r="BQ99" s="1390"/>
      <c r="BR99" s="1390"/>
      <c r="BS99" s="1390"/>
      <c r="BT99" s="1390"/>
      <c r="BU99" s="1390"/>
      <c r="BV99" s="1390"/>
      <c r="BW99" s="1390"/>
      <c r="BX99" s="1390"/>
      <c r="BY99" s="1390"/>
      <c r="BZ99" s="1403"/>
      <c r="CA99" s="1482"/>
      <c r="CB99" s="1594"/>
      <c r="CC99" s="1439"/>
      <c r="CD99" s="1597"/>
      <c r="CE99" s="528"/>
      <c r="CF99" s="528"/>
      <c r="CG99" s="529"/>
      <c r="CH99" s="64"/>
      <c r="CI99" s="64"/>
      <c r="CJ99" s="64"/>
      <c r="CL99" s="611"/>
      <c r="CX99" s="911">
        <f t="shared" si="24"/>
        <v>0</v>
      </c>
      <c r="CY99" s="1010"/>
      <c r="DA99" s="1109"/>
    </row>
    <row r="100" spans="1:107" s="68" customFormat="1" ht="247.5" x14ac:dyDescent="0.2">
      <c r="A100" s="21" t="s">
        <v>68</v>
      </c>
      <c r="C100" s="525"/>
      <c r="D100" s="525"/>
      <c r="E100" s="524"/>
      <c r="F100" s="525"/>
      <c r="G100" s="525"/>
      <c r="H100" s="525"/>
      <c r="I100" s="525"/>
      <c r="J100" s="1606"/>
      <c r="K100" s="1526" t="s">
        <v>679</v>
      </c>
      <c r="L100" s="546"/>
      <c r="M100" s="546"/>
      <c r="N100" s="546"/>
      <c r="O100" s="546"/>
      <c r="P100" s="1526" t="s">
        <v>68</v>
      </c>
      <c r="Q100" s="1463">
        <v>30</v>
      </c>
      <c r="R100" s="1463">
        <v>30</v>
      </c>
      <c r="S100" s="1463">
        <v>30</v>
      </c>
      <c r="T100" s="1463">
        <v>30</v>
      </c>
      <c r="U100" s="16" t="s">
        <v>744</v>
      </c>
      <c r="V100" s="1155" t="s">
        <v>137</v>
      </c>
      <c r="W100" s="223">
        <v>1</v>
      </c>
      <c r="X100" s="223">
        <v>1</v>
      </c>
      <c r="Y100" s="1113">
        <f>(((X100/W100*100)*AL100)/100)</f>
        <v>30</v>
      </c>
      <c r="Z100" s="1121" t="s">
        <v>1064</v>
      </c>
      <c r="AA100" s="1302">
        <v>5</v>
      </c>
      <c r="AB100" s="223">
        <v>1</v>
      </c>
      <c r="AC100" s="223">
        <v>0</v>
      </c>
      <c r="AD100" s="223">
        <f t="shared" si="48"/>
        <v>0</v>
      </c>
      <c r="AE100" s="1121" t="s">
        <v>1292</v>
      </c>
      <c r="AF100" s="223">
        <v>50</v>
      </c>
      <c r="AG100" s="223">
        <v>1</v>
      </c>
      <c r="AH100" s="223">
        <v>1</v>
      </c>
      <c r="AI100" s="425">
        <v>1</v>
      </c>
      <c r="AJ100" s="1136">
        <f>+X100+AC100</f>
        <v>1</v>
      </c>
      <c r="AK100" s="424">
        <v>25</v>
      </c>
      <c r="AL100" s="1410">
        <v>30</v>
      </c>
      <c r="AM100" s="1310">
        <v>30</v>
      </c>
      <c r="AN100" s="509"/>
      <c r="AO100" s="1422">
        <v>300000000</v>
      </c>
      <c r="AP100" s="1422"/>
      <c r="AQ100" s="1422">
        <f>SUM(AO100:AP100)</f>
        <v>300000000</v>
      </c>
      <c r="AR100" s="1506">
        <v>300000000</v>
      </c>
      <c r="AS100" s="1426"/>
      <c r="AT100" s="1426">
        <f>+AR100+AS100</f>
        <v>300000000</v>
      </c>
      <c r="AU100" s="1509">
        <v>300000000</v>
      </c>
      <c r="AV100" s="1419"/>
      <c r="AW100" s="1419">
        <f>SUM(AU100:AV100)</f>
        <v>300000000</v>
      </c>
      <c r="AX100" s="1413">
        <v>300000000</v>
      </c>
      <c r="AY100" s="1407">
        <f>+AX100/AW100*100</f>
        <v>100</v>
      </c>
      <c r="AZ100" s="1407">
        <v>298804781</v>
      </c>
      <c r="BA100" s="1407">
        <f>+AZ100/AW100*100</f>
        <v>99.601593666666659</v>
      </c>
      <c r="BB100" s="1407">
        <v>298804781</v>
      </c>
      <c r="BC100" s="1407">
        <f>+BB100/AW100*100</f>
        <v>99.601593666666659</v>
      </c>
      <c r="BD100" s="1388">
        <v>129200000</v>
      </c>
      <c r="BE100" s="1388"/>
      <c r="BF100" s="1388"/>
      <c r="BG100" s="1388">
        <f>SUM(BD100:BF100)</f>
        <v>129200000</v>
      </c>
      <c r="BH100" s="1393">
        <v>0</v>
      </c>
      <c r="BI100" s="1393">
        <f>+BH100/BG100*100</f>
        <v>0</v>
      </c>
      <c r="BJ100" s="1432">
        <v>0</v>
      </c>
      <c r="BK100" s="1393">
        <f>+BJ100/BG100*100</f>
        <v>0</v>
      </c>
      <c r="BL100" s="1432">
        <v>0</v>
      </c>
      <c r="BM100" s="1393">
        <f>+BL100/BG100*100</f>
        <v>0</v>
      </c>
      <c r="BN100" s="1388">
        <v>330000000</v>
      </c>
      <c r="BO100" s="1388"/>
      <c r="BP100" s="1388"/>
      <c r="BQ100" s="1388">
        <f>SUM(BN100:BP100)</f>
        <v>330000000</v>
      </c>
      <c r="BR100" s="1388">
        <f>+BN100</f>
        <v>330000000</v>
      </c>
      <c r="BS100" s="1388"/>
      <c r="BT100" s="1388"/>
      <c r="BU100" s="1388">
        <f>SUM(BR100:BT100)</f>
        <v>330000000</v>
      </c>
      <c r="BV100" s="1388">
        <v>100000000</v>
      </c>
      <c r="BW100" s="1388"/>
      <c r="BX100" s="1388"/>
      <c r="BY100" s="1388">
        <f>SUM(BV100:BX100)</f>
        <v>100000000</v>
      </c>
      <c r="BZ100" s="1401">
        <f>+AW100+BG100+BU100+BY100</f>
        <v>859200000</v>
      </c>
      <c r="CA100" s="1749">
        <f>+BH100+AX100</f>
        <v>300000000</v>
      </c>
      <c r="CB100" s="1434">
        <f>+CA100/BZ100*100</f>
        <v>34.916201117318437</v>
      </c>
      <c r="CC100" s="1497"/>
      <c r="CD100" s="1740" t="s">
        <v>1169</v>
      </c>
      <c r="CE100" s="528"/>
      <c r="CF100" s="528"/>
      <c r="CG100" s="529"/>
      <c r="CH100" s="64"/>
      <c r="CI100" s="64"/>
      <c r="CJ100" s="64"/>
      <c r="CL100" s="251"/>
      <c r="CX100" s="911">
        <f t="shared" si="24"/>
        <v>-200800000</v>
      </c>
      <c r="CY100" s="1052"/>
      <c r="CZ100" s="1053"/>
      <c r="DA100" s="1117"/>
    </row>
    <row r="101" spans="1:107" s="68" customFormat="1" ht="78.75" hidden="1" customHeight="1" x14ac:dyDescent="0.2">
      <c r="A101" s="21"/>
      <c r="C101" s="525"/>
      <c r="D101" s="525"/>
      <c r="E101" s="524"/>
      <c r="F101" s="525"/>
      <c r="G101" s="525"/>
      <c r="H101" s="525"/>
      <c r="I101" s="525"/>
      <c r="J101" s="1606"/>
      <c r="K101" s="1528"/>
      <c r="L101" s="546"/>
      <c r="M101" s="546"/>
      <c r="N101" s="546"/>
      <c r="O101" s="546"/>
      <c r="P101" s="1528"/>
      <c r="Q101" s="1465"/>
      <c r="R101" s="1465"/>
      <c r="S101" s="1465"/>
      <c r="T101" s="1465"/>
      <c r="U101" s="16" t="s">
        <v>770</v>
      </c>
      <c r="V101" s="737" t="s">
        <v>147</v>
      </c>
      <c r="W101" s="612"/>
      <c r="X101" s="612"/>
      <c r="Y101" s="1113"/>
      <c r="Z101" s="1343"/>
      <c r="AA101" s="1344"/>
      <c r="AB101" s="612"/>
      <c r="AC101" s="612"/>
      <c r="AD101" s="612"/>
      <c r="AE101" s="1345"/>
      <c r="AF101" s="612"/>
      <c r="AG101" s="612"/>
      <c r="AH101" s="223">
        <v>100</v>
      </c>
      <c r="AI101" s="425">
        <f>+AH101+AG101+AB101+W101</f>
        <v>100</v>
      </c>
      <c r="AJ101" s="1156"/>
      <c r="AK101" s="424">
        <f t="shared" si="49"/>
        <v>0</v>
      </c>
      <c r="AL101" s="1412"/>
      <c r="AM101" s="1316"/>
      <c r="AN101" s="509" t="s">
        <v>817</v>
      </c>
      <c r="AO101" s="1423"/>
      <c r="AP101" s="1423"/>
      <c r="AQ101" s="1423"/>
      <c r="AR101" s="1508"/>
      <c r="AS101" s="1428"/>
      <c r="AT101" s="1428"/>
      <c r="AU101" s="1511"/>
      <c r="AV101" s="1421"/>
      <c r="AW101" s="1421"/>
      <c r="AX101" s="1415"/>
      <c r="AY101" s="1425"/>
      <c r="AZ101" s="1425">
        <v>0</v>
      </c>
      <c r="BA101" s="1425"/>
      <c r="BB101" s="1425">
        <v>0</v>
      </c>
      <c r="BC101" s="1425"/>
      <c r="BD101" s="1390"/>
      <c r="BE101" s="1390"/>
      <c r="BF101" s="1390"/>
      <c r="BG101" s="1390"/>
      <c r="BH101" s="1394"/>
      <c r="BI101" s="1394"/>
      <c r="BJ101" s="1440"/>
      <c r="BK101" s="1394"/>
      <c r="BL101" s="1440"/>
      <c r="BM101" s="1394"/>
      <c r="BN101" s="1390"/>
      <c r="BO101" s="1390"/>
      <c r="BP101" s="1390"/>
      <c r="BQ101" s="1390"/>
      <c r="BR101" s="1390"/>
      <c r="BS101" s="1390"/>
      <c r="BT101" s="1390"/>
      <c r="BU101" s="1390"/>
      <c r="BV101" s="1390"/>
      <c r="BW101" s="1390"/>
      <c r="BX101" s="1390"/>
      <c r="BY101" s="1390"/>
      <c r="BZ101" s="1403"/>
      <c r="CA101" s="1749"/>
      <c r="CB101" s="1438"/>
      <c r="CC101" s="1499"/>
      <c r="CD101" s="1746"/>
      <c r="CE101" s="528"/>
      <c r="CF101" s="528"/>
      <c r="CG101" s="529"/>
      <c r="CH101" s="64"/>
      <c r="CI101" s="64"/>
      <c r="CJ101" s="64"/>
      <c r="CL101" s="252"/>
      <c r="CX101" s="911">
        <f t="shared" si="24"/>
        <v>0</v>
      </c>
      <c r="CY101" s="1010"/>
      <c r="DA101" s="1068"/>
    </row>
    <row r="102" spans="1:107" s="68" customFormat="1" ht="123.75" x14ac:dyDescent="0.2">
      <c r="A102" s="21" t="s">
        <v>69</v>
      </c>
      <c r="C102" s="525"/>
      <c r="D102" s="525"/>
      <c r="E102" s="524"/>
      <c r="F102" s="525"/>
      <c r="G102" s="525"/>
      <c r="H102" s="525"/>
      <c r="I102" s="525"/>
      <c r="J102" s="1606"/>
      <c r="K102" s="21" t="s">
        <v>421</v>
      </c>
      <c r="L102" s="520"/>
      <c r="M102" s="520"/>
      <c r="N102" s="520"/>
      <c r="O102" s="520"/>
      <c r="P102" s="16" t="s">
        <v>745</v>
      </c>
      <c r="Q102" s="568">
        <v>5</v>
      </c>
      <c r="R102" s="568">
        <v>5</v>
      </c>
      <c r="S102" s="568">
        <v>5</v>
      </c>
      <c r="T102" s="568">
        <v>5</v>
      </c>
      <c r="U102" s="16" t="s">
        <v>134</v>
      </c>
      <c r="V102" s="1155" t="s">
        <v>137</v>
      </c>
      <c r="W102" s="223">
        <v>3</v>
      </c>
      <c r="X102" s="223">
        <v>2</v>
      </c>
      <c r="Y102" s="1113">
        <f>(((X102/W102*100)*AL102)/100)</f>
        <v>3.3333333333333326</v>
      </c>
      <c r="Z102" s="1121" t="s">
        <v>1065</v>
      </c>
      <c r="AA102" s="1302">
        <v>30</v>
      </c>
      <c r="AB102" s="223">
        <v>3</v>
      </c>
      <c r="AC102" s="223">
        <v>0</v>
      </c>
      <c r="AD102" s="223">
        <f>(((AC102/AB102*100)*AM102)/100)</f>
        <v>0</v>
      </c>
      <c r="AE102" s="1121" t="s">
        <v>1293</v>
      </c>
      <c r="AF102" s="223">
        <v>50</v>
      </c>
      <c r="AG102" s="223">
        <v>3</v>
      </c>
      <c r="AH102" s="223">
        <v>3</v>
      </c>
      <c r="AI102" s="425">
        <v>3</v>
      </c>
      <c r="AJ102" s="1136">
        <f>+X102+AC102</f>
        <v>2</v>
      </c>
      <c r="AK102" s="424">
        <f>8.33333333333333+8.3333333333333</f>
        <v>16.666666666666629</v>
      </c>
      <c r="AL102" s="1310">
        <v>5</v>
      </c>
      <c r="AM102" s="1310">
        <v>5</v>
      </c>
      <c r="AN102" s="509"/>
      <c r="AO102" s="183">
        <v>40000000</v>
      </c>
      <c r="AP102" s="183"/>
      <c r="AQ102" s="183">
        <f>SUM(AO102:AP102)</f>
        <v>40000000</v>
      </c>
      <c r="AR102" s="581">
        <v>40000000</v>
      </c>
      <c r="AS102" s="411"/>
      <c r="AT102" s="411">
        <f>+AS102+AR102</f>
        <v>40000000</v>
      </c>
      <c r="AU102" s="709">
        <v>40000000</v>
      </c>
      <c r="AV102" s="710"/>
      <c r="AW102" s="710">
        <f>SUM(AU102:AV102)</f>
        <v>40000000</v>
      </c>
      <c r="AX102" s="778">
        <v>20159363</v>
      </c>
      <c r="AY102" s="676">
        <f t="shared" ref="AY102:AY107" si="50">+AX102/AW102*100</f>
        <v>50.398407499999998</v>
      </c>
      <c r="AZ102" s="672">
        <v>10000000</v>
      </c>
      <c r="BA102" s="676">
        <f t="shared" ref="BA102:BA107" si="51">+AZ102/AW102*100</f>
        <v>25</v>
      </c>
      <c r="BB102" s="672">
        <v>10000000</v>
      </c>
      <c r="BC102" s="676">
        <f t="shared" ref="BC102:BC107" si="52">+BB102/AW102*100</f>
        <v>25</v>
      </c>
      <c r="BD102" s="1080">
        <v>49960000</v>
      </c>
      <c r="BE102" s="1022"/>
      <c r="BF102" s="1022"/>
      <c r="BG102" s="1022">
        <f>SUM(BD102:BF102)</f>
        <v>49960000</v>
      </c>
      <c r="BH102" s="1022">
        <v>0</v>
      </c>
      <c r="BI102" s="1022">
        <f t="shared" ref="BI102:BI107" si="53">+BH102/BG102*100</f>
        <v>0</v>
      </c>
      <c r="BJ102" s="1026">
        <v>0</v>
      </c>
      <c r="BK102" s="1022">
        <f t="shared" ref="BK102:BK107" si="54">+BJ102/BG102*100</f>
        <v>0</v>
      </c>
      <c r="BL102" s="1026">
        <v>0</v>
      </c>
      <c r="BM102" s="950">
        <f t="shared" ref="BM102:BM107" si="55">+BL102/BG102*100</f>
        <v>0</v>
      </c>
      <c r="BN102" s="964">
        <v>60000000</v>
      </c>
      <c r="BO102" s="964"/>
      <c r="BP102" s="964"/>
      <c r="BQ102" s="964">
        <f>SUM(BN102:BP102)</f>
        <v>60000000</v>
      </c>
      <c r="BR102" s="964">
        <v>60000000</v>
      </c>
      <c r="BS102" s="964"/>
      <c r="BT102" s="964"/>
      <c r="BU102" s="964">
        <f>SUM(BR102:BT102)</f>
        <v>60000000</v>
      </c>
      <c r="BV102" s="964">
        <v>60000000</v>
      </c>
      <c r="BW102" s="964"/>
      <c r="BX102" s="964"/>
      <c r="BY102" s="964">
        <f>SUM(BV102:BX102)</f>
        <v>60000000</v>
      </c>
      <c r="BZ102" s="967">
        <f>+AW102+BG102+BU102+BY102</f>
        <v>209960000</v>
      </c>
      <c r="CA102" s="981">
        <f>+BH102+AX102</f>
        <v>20159363</v>
      </c>
      <c r="CB102" s="966">
        <f t="shared" ref="CB102:CB107" si="56">+CA102/BZ102*100</f>
        <v>9.6015255286721271</v>
      </c>
      <c r="CC102" s="910"/>
      <c r="CD102" s="1071" t="s">
        <v>1170</v>
      </c>
      <c r="CE102" s="528"/>
      <c r="CF102" s="528"/>
      <c r="CG102" s="529"/>
      <c r="CH102" s="64"/>
      <c r="CI102" s="64"/>
      <c r="CJ102" s="64"/>
      <c r="CL102" s="183"/>
      <c r="CX102" s="911">
        <f t="shared" si="24"/>
        <v>-10040000</v>
      </c>
      <c r="CY102" s="1052"/>
      <c r="CZ102" s="1053"/>
      <c r="DA102" s="1117"/>
    </row>
    <row r="103" spans="1:107" s="68" customFormat="1" ht="135" x14ac:dyDescent="0.2">
      <c r="A103" s="21" t="s">
        <v>70</v>
      </c>
      <c r="C103" s="525"/>
      <c r="D103" s="525"/>
      <c r="E103" s="524"/>
      <c r="F103" s="525"/>
      <c r="G103" s="525"/>
      <c r="H103" s="525"/>
      <c r="I103" s="525"/>
      <c r="J103" s="1606"/>
      <c r="K103" s="21" t="s">
        <v>128</v>
      </c>
      <c r="L103" s="520"/>
      <c r="M103" s="520"/>
      <c r="N103" s="520"/>
      <c r="O103" s="520"/>
      <c r="P103" s="750" t="s">
        <v>70</v>
      </c>
      <c r="Q103" s="568">
        <v>5</v>
      </c>
      <c r="R103" s="568">
        <v>5</v>
      </c>
      <c r="S103" s="568">
        <v>5</v>
      </c>
      <c r="T103" s="568">
        <v>5</v>
      </c>
      <c r="U103" s="16" t="s">
        <v>489</v>
      </c>
      <c r="V103" s="737" t="s">
        <v>507</v>
      </c>
      <c r="W103" s="223">
        <v>9</v>
      </c>
      <c r="X103" s="223">
        <v>11</v>
      </c>
      <c r="Y103" s="1113">
        <v>5</v>
      </c>
      <c r="Z103" s="1121" t="s">
        <v>1066</v>
      </c>
      <c r="AA103" s="1302">
        <v>10</v>
      </c>
      <c r="AB103" s="223">
        <v>9</v>
      </c>
      <c r="AC103" s="223">
        <v>0</v>
      </c>
      <c r="AD103" s="223">
        <f>(((AC103/AB103*100)*AM103)/100)</f>
        <v>0</v>
      </c>
      <c r="AE103" s="1121" t="s">
        <v>1294</v>
      </c>
      <c r="AF103" s="223">
        <v>50</v>
      </c>
      <c r="AG103" s="223">
        <v>9</v>
      </c>
      <c r="AH103" s="223">
        <v>9</v>
      </c>
      <c r="AI103" s="425">
        <f>+AH103+AG103+AB103+W103</f>
        <v>36</v>
      </c>
      <c r="AJ103" s="1136">
        <f>+X103+AC103</f>
        <v>11</v>
      </c>
      <c r="AK103" s="424">
        <f t="shared" si="49"/>
        <v>30.555555555555557</v>
      </c>
      <c r="AL103" s="1310">
        <v>5</v>
      </c>
      <c r="AM103" s="1310">
        <v>5</v>
      </c>
      <c r="AN103" s="509"/>
      <c r="AO103" s="183">
        <v>40000000</v>
      </c>
      <c r="AP103" s="183"/>
      <c r="AQ103" s="183">
        <f>SUM(AO103:AP103)</f>
        <v>40000000</v>
      </c>
      <c r="AR103" s="411">
        <v>40000000</v>
      </c>
      <c r="AS103" s="411"/>
      <c r="AT103" s="411">
        <f>+AS103+AR103</f>
        <v>40000000</v>
      </c>
      <c r="AU103" s="710">
        <v>40000000</v>
      </c>
      <c r="AV103" s="710"/>
      <c r="AW103" s="710">
        <f>SUM(AU103:AV103)</f>
        <v>40000000</v>
      </c>
      <c r="AX103" s="778">
        <v>39999663</v>
      </c>
      <c r="AY103" s="676">
        <f t="shared" si="50"/>
        <v>99.999157499999995</v>
      </c>
      <c r="AZ103" s="672">
        <v>39840300</v>
      </c>
      <c r="BA103" s="676">
        <f t="shared" si="51"/>
        <v>99.600750000000005</v>
      </c>
      <c r="BB103" s="672">
        <v>39840300</v>
      </c>
      <c r="BC103" s="676">
        <f t="shared" si="52"/>
        <v>99.600750000000005</v>
      </c>
      <c r="BD103" s="1031">
        <v>40000000</v>
      </c>
      <c r="BE103" s="1031"/>
      <c r="BF103" s="1031"/>
      <c r="BG103" s="1031">
        <f>SUM(BD103:BF103)</f>
        <v>40000000</v>
      </c>
      <c r="BH103" s="1079">
        <v>39726990</v>
      </c>
      <c r="BI103" s="1031">
        <f t="shared" si="53"/>
        <v>99.317475000000002</v>
      </c>
      <c r="BJ103" s="1034">
        <v>0</v>
      </c>
      <c r="BK103" s="1031">
        <f t="shared" si="54"/>
        <v>0</v>
      </c>
      <c r="BL103" s="1034">
        <v>0</v>
      </c>
      <c r="BM103" s="950">
        <f t="shared" si="55"/>
        <v>0</v>
      </c>
      <c r="BN103" s="964">
        <v>40000000</v>
      </c>
      <c r="BO103" s="964"/>
      <c r="BP103" s="964"/>
      <c r="BQ103" s="964">
        <f>SUM(BN103:BP103)</f>
        <v>40000000</v>
      </c>
      <c r="BR103" s="964">
        <v>40000000</v>
      </c>
      <c r="BS103" s="964"/>
      <c r="BT103" s="964"/>
      <c r="BU103" s="964">
        <f>SUM(BR103:BT103)</f>
        <v>40000000</v>
      </c>
      <c r="BV103" s="964">
        <v>40000000</v>
      </c>
      <c r="BW103" s="964"/>
      <c r="BX103" s="964"/>
      <c r="BY103" s="964">
        <f>SUM(BV103:BX103)</f>
        <v>40000000</v>
      </c>
      <c r="BZ103" s="967">
        <f>+AW103+BG103+BU103+BY103</f>
        <v>160000000</v>
      </c>
      <c r="CA103" s="981">
        <f>+BH103+AX103</f>
        <v>79726653</v>
      </c>
      <c r="CB103" s="966">
        <f t="shared" si="56"/>
        <v>49.829158124999999</v>
      </c>
      <c r="CC103" s="910"/>
      <c r="CD103" s="1035"/>
      <c r="CE103" s="528"/>
      <c r="CF103" s="528"/>
      <c r="CG103" s="529"/>
      <c r="CH103" s="64"/>
      <c r="CI103" s="64"/>
      <c r="CJ103" s="64"/>
      <c r="CL103" s="183"/>
      <c r="CX103" s="911">
        <f t="shared" si="24"/>
        <v>0</v>
      </c>
      <c r="CY103" s="1010"/>
      <c r="DA103" s="1109"/>
    </row>
    <row r="104" spans="1:107" s="68" customFormat="1" ht="137.25" customHeight="1" x14ac:dyDescent="0.2">
      <c r="A104" s="21" t="s">
        <v>71</v>
      </c>
      <c r="C104" s="597"/>
      <c r="D104" s="597"/>
      <c r="E104" s="613"/>
      <c r="F104" s="597"/>
      <c r="G104" s="597"/>
      <c r="H104" s="597"/>
      <c r="I104" s="597"/>
      <c r="J104" s="1607"/>
      <c r="K104" s="21" t="s">
        <v>680</v>
      </c>
      <c r="L104" s="521"/>
      <c r="M104" s="521"/>
      <c r="N104" s="521"/>
      <c r="O104" s="521"/>
      <c r="P104" s="750" t="s">
        <v>129</v>
      </c>
      <c r="Q104" s="568">
        <v>5</v>
      </c>
      <c r="R104" s="568">
        <v>5</v>
      </c>
      <c r="S104" s="568">
        <v>5</v>
      </c>
      <c r="T104" s="568">
        <v>5</v>
      </c>
      <c r="U104" s="16" t="s">
        <v>707</v>
      </c>
      <c r="V104" s="1155" t="s">
        <v>137</v>
      </c>
      <c r="W104" s="223">
        <v>28</v>
      </c>
      <c r="X104" s="223">
        <v>28</v>
      </c>
      <c r="Y104" s="1113">
        <f>(((X104/W104*100)*AL104)/100)</f>
        <v>5</v>
      </c>
      <c r="Z104" s="1121" t="s">
        <v>1067</v>
      </c>
      <c r="AA104" s="1302">
        <v>10</v>
      </c>
      <c r="AB104" s="223">
        <v>20</v>
      </c>
      <c r="AC104" s="223">
        <v>0</v>
      </c>
      <c r="AD104" s="223">
        <f>(((AC104/AB104*100)*AM104)/100)</f>
        <v>0</v>
      </c>
      <c r="AE104" s="1121" t="s">
        <v>1295</v>
      </c>
      <c r="AF104" s="223">
        <v>50</v>
      </c>
      <c r="AG104" s="223">
        <v>20</v>
      </c>
      <c r="AH104" s="223">
        <v>20</v>
      </c>
      <c r="AI104" s="425">
        <f>+AH104+AG104+AB104+W104</f>
        <v>88</v>
      </c>
      <c r="AJ104" s="1136">
        <f>+X104+AC104</f>
        <v>28</v>
      </c>
      <c r="AK104" s="424">
        <f t="shared" si="49"/>
        <v>31.818181818181817</v>
      </c>
      <c r="AL104" s="1310">
        <v>5</v>
      </c>
      <c r="AM104" s="1310">
        <v>5</v>
      </c>
      <c r="AN104" s="509"/>
      <c r="AO104" s="183">
        <v>70000000</v>
      </c>
      <c r="AP104" s="183"/>
      <c r="AQ104" s="183">
        <f>SUM(AO104:AP104)</f>
        <v>70000000</v>
      </c>
      <c r="AR104" s="411">
        <v>70000000</v>
      </c>
      <c r="AS104" s="411"/>
      <c r="AT104" s="411">
        <f>+AS104+AR104</f>
        <v>70000000</v>
      </c>
      <c r="AU104" s="710">
        <v>70000000</v>
      </c>
      <c r="AV104" s="710"/>
      <c r="AW104" s="710">
        <f>SUM(AU104:AV104)</f>
        <v>70000000</v>
      </c>
      <c r="AX104" s="778">
        <v>69999384</v>
      </c>
      <c r="AY104" s="676">
        <f t="shared" si="50"/>
        <v>99.999119999999991</v>
      </c>
      <c r="AZ104" s="672">
        <v>52359970</v>
      </c>
      <c r="BA104" s="676">
        <f t="shared" si="51"/>
        <v>74.799957142857139</v>
      </c>
      <c r="BB104" s="672">
        <v>45360082</v>
      </c>
      <c r="BC104" s="676">
        <f t="shared" si="52"/>
        <v>64.800117142857133</v>
      </c>
      <c r="BD104" s="1031">
        <v>50000000</v>
      </c>
      <c r="BE104" s="1031"/>
      <c r="BF104" s="1031"/>
      <c r="BG104" s="1031">
        <f>SUM(BD104:BF104)</f>
        <v>50000000</v>
      </c>
      <c r="BH104" s="1080">
        <v>49800797</v>
      </c>
      <c r="BI104" s="1022">
        <f t="shared" si="53"/>
        <v>99.601594000000006</v>
      </c>
      <c r="BJ104" s="1026">
        <v>0</v>
      </c>
      <c r="BK104" s="1022">
        <f t="shared" si="54"/>
        <v>0</v>
      </c>
      <c r="BL104" s="1026">
        <v>0</v>
      </c>
      <c r="BM104" s="950">
        <f t="shared" si="55"/>
        <v>0</v>
      </c>
      <c r="BN104" s="964">
        <v>50000000</v>
      </c>
      <c r="BO104" s="964"/>
      <c r="BP104" s="964"/>
      <c r="BQ104" s="964">
        <f>SUM(BN104:BP104)</f>
        <v>50000000</v>
      </c>
      <c r="BR104" s="964">
        <v>50000000</v>
      </c>
      <c r="BS104" s="964"/>
      <c r="BT104" s="964"/>
      <c r="BU104" s="964">
        <f>SUM(BR104:BT104)</f>
        <v>50000000</v>
      </c>
      <c r="BV104" s="964">
        <v>50000000</v>
      </c>
      <c r="BW104" s="964"/>
      <c r="BX104" s="964"/>
      <c r="BY104" s="964">
        <f>SUM(BV104:BX104)</f>
        <v>50000000</v>
      </c>
      <c r="BZ104" s="967">
        <f>+AW104+BG104+BU104+BY104</f>
        <v>220000000</v>
      </c>
      <c r="CA104" s="981">
        <f>+BH104+AX104</f>
        <v>119800181</v>
      </c>
      <c r="CB104" s="966">
        <f t="shared" si="56"/>
        <v>54.454627727272729</v>
      </c>
      <c r="CC104" s="910"/>
      <c r="CD104" s="1035"/>
      <c r="CE104" s="528"/>
      <c r="CF104" s="528"/>
      <c r="CG104" s="529"/>
      <c r="CH104" s="64"/>
      <c r="CI104" s="64"/>
      <c r="CJ104" s="64"/>
      <c r="CL104" s="183"/>
      <c r="CX104" s="911">
        <f t="shared" si="24"/>
        <v>0</v>
      </c>
      <c r="CY104" s="1010"/>
      <c r="DA104" s="1109"/>
    </row>
    <row r="105" spans="1:107" s="1" customFormat="1" ht="116.45" customHeight="1" x14ac:dyDescent="0.2">
      <c r="A105" s="315"/>
      <c r="C105" s="289" t="s">
        <v>669</v>
      </c>
      <c r="D105" s="290" t="s">
        <v>674</v>
      </c>
      <c r="E105" s="303" t="s">
        <v>859</v>
      </c>
      <c r="F105" s="309">
        <v>15</v>
      </c>
      <c r="G105" s="309">
        <v>15</v>
      </c>
      <c r="H105" s="309">
        <v>15</v>
      </c>
      <c r="I105" s="309">
        <v>15</v>
      </c>
      <c r="J105" s="1182"/>
      <c r="K105" s="1161"/>
      <c r="L105" s="1161"/>
      <c r="M105" s="1161"/>
      <c r="N105" s="1161"/>
      <c r="O105" s="1161"/>
      <c r="P105" s="1161"/>
      <c r="Q105" s="1162"/>
      <c r="R105" s="1162"/>
      <c r="S105" s="1162"/>
      <c r="T105" s="1162"/>
      <c r="U105" s="1161"/>
      <c r="V105" s="1170"/>
      <c r="W105" s="1175"/>
      <c r="X105" s="1175"/>
      <c r="Y105" s="1183">
        <f>(((Y106+Y113+Y115+Y131)*AL105)/100)</f>
        <v>13.577485714285714</v>
      </c>
      <c r="Z105" s="1177"/>
      <c r="AA105" s="1178">
        <f>(((AA106+AA113+AA115+AA131)*AL105)/100)</f>
        <v>7.801276923076923</v>
      </c>
      <c r="AB105" s="1175"/>
      <c r="AC105" s="1175"/>
      <c r="AD105" s="1179">
        <f>(((AD106+AD113+AD115+AD131)*AM105)/100)</f>
        <v>8.7807084764697674</v>
      </c>
      <c r="AE105" s="1175"/>
      <c r="AF105" s="1179">
        <f>(AF106+AF113+AF115+AF131)/4</f>
        <v>63.110416666666666</v>
      </c>
      <c r="AG105" s="1175"/>
      <c r="AH105" s="1175"/>
      <c r="AI105" s="1164"/>
      <c r="AJ105" s="1184"/>
      <c r="AK105" s="1178">
        <f>((AK106+AK113+AK115+AK131)/4)</f>
        <v>41.32364980673448</v>
      </c>
      <c r="AL105" s="1178">
        <f>+F105</f>
        <v>15</v>
      </c>
      <c r="AM105" s="1185">
        <v>15</v>
      </c>
      <c r="AN105" s="1186"/>
      <c r="AO105" s="325">
        <f t="shared" ref="AO105:AX105" si="57">+AO106+AO113+AO115+AO131</f>
        <v>2212945608</v>
      </c>
      <c r="AP105" s="325">
        <f t="shared" si="57"/>
        <v>0</v>
      </c>
      <c r="AQ105" s="325">
        <f t="shared" si="57"/>
        <v>2212945608</v>
      </c>
      <c r="AR105" s="415">
        <f t="shared" si="57"/>
        <v>3711799445</v>
      </c>
      <c r="AS105" s="415">
        <f t="shared" si="57"/>
        <v>0</v>
      </c>
      <c r="AT105" s="415">
        <f t="shared" si="57"/>
        <v>3711799445</v>
      </c>
      <c r="AU105" s="712">
        <f t="shared" si="57"/>
        <v>3822098325</v>
      </c>
      <c r="AV105" s="712">
        <f t="shared" si="57"/>
        <v>0</v>
      </c>
      <c r="AW105" s="712">
        <f t="shared" si="57"/>
        <v>3822098325</v>
      </c>
      <c r="AX105" s="779">
        <f t="shared" si="57"/>
        <v>3028461466</v>
      </c>
      <c r="AY105" s="687">
        <f t="shared" si="50"/>
        <v>79.23557188968968</v>
      </c>
      <c r="AZ105" s="688">
        <f>+AZ106+AZ113+AZ115+AZ131</f>
        <v>2889552743</v>
      </c>
      <c r="BA105" s="687">
        <f t="shared" si="51"/>
        <v>75.601214236161752</v>
      </c>
      <c r="BB105" s="688">
        <f>+BB106+BB113+BB115+BB131</f>
        <v>2889552743</v>
      </c>
      <c r="BC105" s="687">
        <f t="shared" si="52"/>
        <v>75.601214236161752</v>
      </c>
      <c r="BD105" s="988">
        <f>+BD106+BD113+BD115+BD131</f>
        <v>2781222777</v>
      </c>
      <c r="BE105" s="988">
        <f>+BE106+BE113+BE115+BE131</f>
        <v>0</v>
      </c>
      <c r="BF105" s="988">
        <f>+BF106+BF113+BF115+BF131</f>
        <v>1451646279</v>
      </c>
      <c r="BG105" s="988">
        <f>+BG106+BG113+BG115+BG131</f>
        <v>4232869056</v>
      </c>
      <c r="BH105" s="944">
        <f>+BH106+BH113+BH115+BH131</f>
        <v>1732563206</v>
      </c>
      <c r="BI105" s="944">
        <f t="shared" si="53"/>
        <v>40.93117890202933</v>
      </c>
      <c r="BJ105" s="944">
        <f>+BJ106+BJ113+BJ115+BJ131</f>
        <v>1056112086</v>
      </c>
      <c r="BK105" s="944">
        <f t="shared" si="54"/>
        <v>24.9502659314014</v>
      </c>
      <c r="BL105" s="944">
        <f>+BL106+BL113+BL115+BL131</f>
        <v>1056112086</v>
      </c>
      <c r="BM105" s="944">
        <f t="shared" si="55"/>
        <v>24.9502659314014</v>
      </c>
      <c r="BN105" s="988">
        <f t="shared" ref="BN105:BY105" si="58">+BN106+BN113+BN115+BN131</f>
        <v>2313619000</v>
      </c>
      <c r="BO105" s="988">
        <f t="shared" si="58"/>
        <v>0</v>
      </c>
      <c r="BP105" s="988">
        <f t="shared" si="58"/>
        <v>0</v>
      </c>
      <c r="BQ105" s="988">
        <f t="shared" si="58"/>
        <v>2313619000</v>
      </c>
      <c r="BR105" s="988">
        <f t="shared" si="58"/>
        <v>2418652330</v>
      </c>
      <c r="BS105" s="988">
        <f t="shared" si="58"/>
        <v>0</v>
      </c>
      <c r="BT105" s="988">
        <f t="shared" si="58"/>
        <v>0</v>
      </c>
      <c r="BU105" s="988">
        <f t="shared" si="58"/>
        <v>2418652330</v>
      </c>
      <c r="BV105" s="988">
        <f t="shared" si="58"/>
        <v>2540480753</v>
      </c>
      <c r="BW105" s="988">
        <f t="shared" si="58"/>
        <v>0</v>
      </c>
      <c r="BX105" s="988">
        <f t="shared" si="58"/>
        <v>0</v>
      </c>
      <c r="BY105" s="988">
        <f t="shared" si="58"/>
        <v>2540480753</v>
      </c>
      <c r="BZ105" s="989">
        <f>+BZ106+BZ113+BZ115+BZ131</f>
        <v>13014100464</v>
      </c>
      <c r="CA105" s="989">
        <f>+CA106+CA113+CA115+CA131</f>
        <v>4761024672</v>
      </c>
      <c r="CB105" s="990">
        <f t="shared" si="56"/>
        <v>36.583586281434442</v>
      </c>
      <c r="CC105" s="698"/>
      <c r="CD105" s="687"/>
      <c r="CE105" s="334" t="e">
        <f>+BZ105/#REF!*100</f>
        <v>#REF!</v>
      </c>
      <c r="CF105" s="198"/>
      <c r="CG105" s="238"/>
      <c r="CH105" s="7"/>
      <c r="CI105" s="7"/>
      <c r="CJ105" s="7"/>
      <c r="CL105" s="660"/>
      <c r="CX105" s="911">
        <f t="shared" si="24"/>
        <v>467603777</v>
      </c>
      <c r="CY105" s="1008"/>
      <c r="DA105" s="1066"/>
    </row>
    <row r="106" spans="1:107" s="830" customFormat="1" ht="57" customHeight="1" x14ac:dyDescent="0.2">
      <c r="A106" s="819" t="s">
        <v>77</v>
      </c>
      <c r="C106" s="817"/>
      <c r="D106" s="817"/>
      <c r="E106" s="816"/>
      <c r="F106" s="817"/>
      <c r="G106" s="817"/>
      <c r="H106" s="817"/>
      <c r="I106" s="817"/>
      <c r="J106" s="1138" t="s">
        <v>860</v>
      </c>
      <c r="K106" s="1205"/>
      <c r="L106" s="1209">
        <v>20</v>
      </c>
      <c r="M106" s="1209">
        <v>20</v>
      </c>
      <c r="N106" s="1209">
        <v>20</v>
      </c>
      <c r="O106" s="1209">
        <v>20</v>
      </c>
      <c r="P106" s="1138"/>
      <c r="Q106" s="1227"/>
      <c r="R106" s="1227"/>
      <c r="S106" s="1227"/>
      <c r="T106" s="1227"/>
      <c r="U106" s="1274"/>
      <c r="V106" s="1275"/>
      <c r="W106" s="1229"/>
      <c r="X106" s="1229"/>
      <c r="Y106" s="1139">
        <f>((((Y107+Y108+Y109)/3)+Y110+Y111+Y112)*AL106)/100</f>
        <v>20</v>
      </c>
      <c r="Z106" s="1139"/>
      <c r="AA106" s="1139">
        <f>((((AA107+AA108+AA109+AA110+AA111+AA112)/6)*AL106)/100)</f>
        <v>4.1666666666666661</v>
      </c>
      <c r="AB106" s="1139"/>
      <c r="AC106" s="1139"/>
      <c r="AD106" s="1139">
        <f>((((AD107+AD108+AD109)/3)+AD110+AD111+AD112)*AM106)/100</f>
        <v>7.7319006656426019</v>
      </c>
      <c r="AE106" s="1139"/>
      <c r="AF106" s="1139">
        <f>(AF107+AF108+AF109+AF110+AF111+AF112)/6</f>
        <v>39.091666666666669</v>
      </c>
      <c r="AG106" s="1139"/>
      <c r="AH106" s="1139"/>
      <c r="AI106" s="1139"/>
      <c r="AJ106" s="1139"/>
      <c r="AK106" s="1139">
        <f>((AK107+AK108+AK109+AK110+AK111+AK112)/6)</f>
        <v>41.359799027137733</v>
      </c>
      <c r="AL106" s="1139">
        <f>+L106</f>
        <v>20</v>
      </c>
      <c r="AM106" s="1139">
        <v>20</v>
      </c>
      <c r="AN106" s="1255"/>
      <c r="AO106" s="821">
        <f>SUM(AO107:AO112)</f>
        <v>80000000</v>
      </c>
      <c r="AP106" s="821">
        <f>SUM(AP107:AP112)</f>
        <v>0</v>
      </c>
      <c r="AQ106" s="821">
        <f t="shared" ref="AQ106:AQ120" si="59">SUM(AO106:AP106)</f>
        <v>80000000</v>
      </c>
      <c r="AR106" s="822">
        <f>SUM(AR107:AR112)</f>
        <v>129938738</v>
      </c>
      <c r="AS106" s="822">
        <f>SUM(AS107:AS112)</f>
        <v>0</v>
      </c>
      <c r="AT106" s="822">
        <f>SUM(AT107:AT112)</f>
        <v>129938738</v>
      </c>
      <c r="AU106" s="823">
        <f>SUM(AU107:AU112)</f>
        <v>129938738</v>
      </c>
      <c r="AV106" s="823">
        <f>SUM(AV107:AV112)</f>
        <v>0</v>
      </c>
      <c r="AW106" s="823">
        <f t="shared" ref="AW106:AW118" si="60">SUM(AU106:AV106)</f>
        <v>129938738</v>
      </c>
      <c r="AX106" s="824">
        <f>SUM(AX107:AX112)</f>
        <v>73257095</v>
      </c>
      <c r="AY106" s="825">
        <f t="shared" si="50"/>
        <v>56.378179538730009</v>
      </c>
      <c r="AZ106" s="826">
        <f>SUM(AZ107:AZ112)</f>
        <v>44533120</v>
      </c>
      <c r="BA106" s="825">
        <f t="shared" si="51"/>
        <v>34.272396889063209</v>
      </c>
      <c r="BB106" s="826">
        <f>SUM(BB107:BB112)</f>
        <v>44533120</v>
      </c>
      <c r="BC106" s="825">
        <f t="shared" si="52"/>
        <v>34.272396889063209</v>
      </c>
      <c r="BD106" s="947">
        <f>SUM(BD107:BD112)</f>
        <v>89692000</v>
      </c>
      <c r="BE106" s="947">
        <f>SUM(BE107:BE112)</f>
        <v>0</v>
      </c>
      <c r="BF106" s="947">
        <f>SUM(BF107:BF112)</f>
        <v>0</v>
      </c>
      <c r="BG106" s="947">
        <f t="shared" ref="BG106:BG120" si="61">SUM(BD106:BF106)</f>
        <v>89692000</v>
      </c>
      <c r="BH106" s="947">
        <f>SUM(BH107:BH112)</f>
        <v>39976284</v>
      </c>
      <c r="BI106" s="947">
        <f t="shared" si="53"/>
        <v>44.57062391294653</v>
      </c>
      <c r="BJ106" s="947">
        <f>SUM(BJ107:BJ112)</f>
        <v>11828284</v>
      </c>
      <c r="BK106" s="947">
        <f t="shared" si="54"/>
        <v>13.18766891138563</v>
      </c>
      <c r="BL106" s="947">
        <f>SUM(BL107:BL112)</f>
        <v>11828284</v>
      </c>
      <c r="BM106" s="947">
        <f t="shared" si="55"/>
        <v>13.18766891138563</v>
      </c>
      <c r="BN106" s="947">
        <f>SUM(BN107:BN112)</f>
        <v>82000000</v>
      </c>
      <c r="BO106" s="947">
        <f>SUM(BO107:BO112)</f>
        <v>0</v>
      </c>
      <c r="BP106" s="947">
        <f>SUM(BP107:BP112)</f>
        <v>0</v>
      </c>
      <c r="BQ106" s="947">
        <f t="shared" ref="BQ106:BQ120" si="62">SUM(BN106:BP106)</f>
        <v>82000000</v>
      </c>
      <c r="BR106" s="947">
        <f>SUM(BR107:BR112)</f>
        <v>86000000</v>
      </c>
      <c r="BS106" s="947">
        <f>SUM(BS107:BS112)</f>
        <v>0</v>
      </c>
      <c r="BT106" s="947">
        <f>SUM(BT107:BT112)</f>
        <v>0</v>
      </c>
      <c r="BU106" s="947">
        <f t="shared" ref="BU106:BU120" si="63">SUM(BR106:BT106)</f>
        <v>86000000</v>
      </c>
      <c r="BV106" s="947">
        <f>SUM(BV107:BV112)</f>
        <v>90600000</v>
      </c>
      <c r="BW106" s="947">
        <f>SUM(BW107:BW112)</f>
        <v>0</v>
      </c>
      <c r="BX106" s="947">
        <f>SUM(BX107:BX112)</f>
        <v>0</v>
      </c>
      <c r="BY106" s="947">
        <f t="shared" ref="BY106:BY120" si="64">SUM(BV106:BX106)</f>
        <v>90600000</v>
      </c>
      <c r="BZ106" s="948">
        <f>SUM(BZ107:BZ112)</f>
        <v>396230738</v>
      </c>
      <c r="CA106" s="948">
        <f>SUM(CA107:CA112)</f>
        <v>113233379</v>
      </c>
      <c r="CB106" s="949">
        <f t="shared" si="56"/>
        <v>28.57763624587853</v>
      </c>
      <c r="CC106" s="827"/>
      <c r="CD106" s="825"/>
      <c r="CE106" s="828"/>
      <c r="CF106" s="834">
        <f>+BZ107</f>
        <v>396230738</v>
      </c>
      <c r="CG106" s="829">
        <v>49938738</v>
      </c>
      <c r="CH106" s="815"/>
      <c r="CI106" s="815"/>
      <c r="CJ106" s="846"/>
      <c r="CL106" s="821"/>
      <c r="CX106" s="911">
        <f t="shared" si="24"/>
        <v>7692000</v>
      </c>
      <c r="CY106" s="1009"/>
      <c r="DA106" s="1067"/>
    </row>
    <row r="107" spans="1:107" s="68" customFormat="1" ht="99.75" customHeight="1" x14ac:dyDescent="0.2">
      <c r="A107" s="16" t="s">
        <v>78</v>
      </c>
      <c r="C107" s="525"/>
      <c r="D107" s="525"/>
      <c r="E107" s="524"/>
      <c r="F107" s="525"/>
      <c r="G107" s="525"/>
      <c r="H107" s="525"/>
      <c r="I107" s="525"/>
      <c r="J107" s="1475"/>
      <c r="K107" s="1535" t="s">
        <v>421</v>
      </c>
      <c r="L107" s="614"/>
      <c r="M107" s="614"/>
      <c r="N107" s="614"/>
      <c r="O107" s="614"/>
      <c r="P107" s="1449" t="s">
        <v>142</v>
      </c>
      <c r="Q107" s="1442">
        <v>25</v>
      </c>
      <c r="R107" s="1442">
        <v>25</v>
      </c>
      <c r="S107" s="1442">
        <v>25</v>
      </c>
      <c r="T107" s="1442">
        <v>25</v>
      </c>
      <c r="U107" s="507" t="s">
        <v>143</v>
      </c>
      <c r="V107" s="508" t="s">
        <v>137</v>
      </c>
      <c r="W107" s="425">
        <v>350</v>
      </c>
      <c r="X107" s="425">
        <v>403</v>
      </c>
      <c r="Y107" s="1113">
        <v>25</v>
      </c>
      <c r="Z107" s="506" t="s">
        <v>1068</v>
      </c>
      <c r="AA107" s="1156">
        <f>+Y107</f>
        <v>25</v>
      </c>
      <c r="AB107" s="425">
        <v>350</v>
      </c>
      <c r="AC107" s="425">
        <v>123</v>
      </c>
      <c r="AD107" s="1136">
        <f>(((AC107/AB107*100)*AM107)/100)</f>
        <v>8.7857142857142847</v>
      </c>
      <c r="AE107" s="506" t="s">
        <v>1198</v>
      </c>
      <c r="AF107" s="425">
        <v>35.14</v>
      </c>
      <c r="AG107" s="425">
        <v>350</v>
      </c>
      <c r="AH107" s="425">
        <v>350</v>
      </c>
      <c r="AI107" s="425">
        <f>+AH107+AG107+AB107+W107</f>
        <v>1400</v>
      </c>
      <c r="AJ107" s="1136">
        <f t="shared" ref="AJ107:AJ112" si="65">+X107+AC107</f>
        <v>526</v>
      </c>
      <c r="AK107" s="424">
        <f t="shared" ref="AK107:AK112" si="66">+AJ107/AI107*100</f>
        <v>37.571428571428569</v>
      </c>
      <c r="AL107" s="1410">
        <v>25</v>
      </c>
      <c r="AM107" s="1410">
        <v>25</v>
      </c>
      <c r="AN107" s="554"/>
      <c r="AO107" s="1598">
        <v>80000000</v>
      </c>
      <c r="AP107" s="1598"/>
      <c r="AQ107" s="1598">
        <f t="shared" si="59"/>
        <v>80000000</v>
      </c>
      <c r="AR107" s="1506">
        <v>129938738</v>
      </c>
      <c r="AS107" s="1599"/>
      <c r="AT107" s="1426">
        <f>+AR107+AS107</f>
        <v>129938738</v>
      </c>
      <c r="AU107" s="1509">
        <v>129938738</v>
      </c>
      <c r="AV107" s="1600"/>
      <c r="AW107" s="1600">
        <f t="shared" si="60"/>
        <v>129938738</v>
      </c>
      <c r="AX107" s="1429">
        <v>73257095</v>
      </c>
      <c r="AY107" s="1513">
        <f t="shared" si="50"/>
        <v>56.378179538730009</v>
      </c>
      <c r="AZ107" s="1516">
        <v>44533120</v>
      </c>
      <c r="BA107" s="1513">
        <f t="shared" si="51"/>
        <v>34.272396889063209</v>
      </c>
      <c r="BB107" s="1516">
        <v>44533120</v>
      </c>
      <c r="BC107" s="1513">
        <f t="shared" si="52"/>
        <v>34.272396889063209</v>
      </c>
      <c r="BD107" s="1395">
        <v>89692000</v>
      </c>
      <c r="BE107" s="1395"/>
      <c r="BF107" s="1395"/>
      <c r="BG107" s="1395">
        <f t="shared" si="61"/>
        <v>89692000</v>
      </c>
      <c r="BH107" s="1395">
        <v>39976284</v>
      </c>
      <c r="BI107" s="1395">
        <f t="shared" si="53"/>
        <v>44.57062391294653</v>
      </c>
      <c r="BJ107" s="1395">
        <v>11828284</v>
      </c>
      <c r="BK107" s="1395">
        <f t="shared" si="54"/>
        <v>13.18766891138563</v>
      </c>
      <c r="BL107" s="1395">
        <v>11828284</v>
      </c>
      <c r="BM107" s="1395">
        <f t="shared" si="55"/>
        <v>13.18766891138563</v>
      </c>
      <c r="BN107" s="1395">
        <v>82000000</v>
      </c>
      <c r="BO107" s="1395"/>
      <c r="BP107" s="1395"/>
      <c r="BQ107" s="1395">
        <f t="shared" si="62"/>
        <v>82000000</v>
      </c>
      <c r="BR107" s="1395">
        <v>86000000</v>
      </c>
      <c r="BS107" s="1395"/>
      <c r="BT107" s="1395"/>
      <c r="BU107" s="1395">
        <f t="shared" si="63"/>
        <v>86000000</v>
      </c>
      <c r="BV107" s="1395">
        <v>90600000</v>
      </c>
      <c r="BW107" s="1395"/>
      <c r="BX107" s="1395"/>
      <c r="BY107" s="1395">
        <f t="shared" si="64"/>
        <v>90600000</v>
      </c>
      <c r="BZ107" s="1432">
        <f>+AW107+BG107+BU107+BY107</f>
        <v>396230738</v>
      </c>
      <c r="CA107" s="1480">
        <f>+BH107+AX107</f>
        <v>113233379</v>
      </c>
      <c r="CB107" s="1477">
        <f t="shared" si="56"/>
        <v>28.57763624587853</v>
      </c>
      <c r="CC107" s="1663" t="s">
        <v>898</v>
      </c>
      <c r="CD107" s="1735" t="s">
        <v>1171</v>
      </c>
      <c r="CE107" s="528"/>
      <c r="CF107" s="528"/>
      <c r="CG107" s="529"/>
      <c r="CH107" s="64"/>
      <c r="CI107" s="64"/>
      <c r="CJ107" s="64"/>
      <c r="CL107" s="517"/>
      <c r="CX107" s="911">
        <f t="shared" si="24"/>
        <v>7692000</v>
      </c>
      <c r="CY107" s="1016"/>
      <c r="CZ107" s="1020"/>
      <c r="DA107" s="1103"/>
    </row>
    <row r="108" spans="1:107" s="68" customFormat="1" ht="101.25" x14ac:dyDescent="0.2">
      <c r="A108" s="16"/>
      <c r="C108" s="525"/>
      <c r="D108" s="525"/>
      <c r="E108" s="524"/>
      <c r="F108" s="525"/>
      <c r="G108" s="525"/>
      <c r="H108" s="525"/>
      <c r="I108" s="525"/>
      <c r="J108" s="1475"/>
      <c r="K108" s="1562"/>
      <c r="L108" s="615"/>
      <c r="M108" s="615"/>
      <c r="N108" s="615"/>
      <c r="O108" s="615"/>
      <c r="P108" s="1450"/>
      <c r="Q108" s="1443"/>
      <c r="R108" s="1443"/>
      <c r="S108" s="1443"/>
      <c r="T108" s="1443"/>
      <c r="U108" s="507" t="s">
        <v>144</v>
      </c>
      <c r="V108" s="508" t="s">
        <v>137</v>
      </c>
      <c r="W108" s="425">
        <v>155</v>
      </c>
      <c r="X108" s="425">
        <v>165</v>
      </c>
      <c r="Y108" s="1113">
        <v>25</v>
      </c>
      <c r="Z108" s="506" t="s">
        <v>1069</v>
      </c>
      <c r="AA108" s="1156">
        <f>+Y108</f>
        <v>25</v>
      </c>
      <c r="AB108" s="425">
        <v>155</v>
      </c>
      <c r="AC108" s="425">
        <v>28</v>
      </c>
      <c r="AD108" s="1136">
        <f>(((AC108/AB108*100)*AM107)/100)</f>
        <v>4.5161290322580641</v>
      </c>
      <c r="AE108" s="506" t="s">
        <v>1199</v>
      </c>
      <c r="AF108" s="425">
        <v>18.059999999999999</v>
      </c>
      <c r="AG108" s="425">
        <v>155</v>
      </c>
      <c r="AH108" s="425">
        <v>155</v>
      </c>
      <c r="AI108" s="425">
        <f>+AH108+AG108+AB108+W108</f>
        <v>620</v>
      </c>
      <c r="AJ108" s="1136">
        <f t="shared" si="65"/>
        <v>193</v>
      </c>
      <c r="AK108" s="424">
        <f t="shared" si="66"/>
        <v>31.129032258064516</v>
      </c>
      <c r="AL108" s="1411"/>
      <c r="AM108" s="1411"/>
      <c r="AN108" s="509"/>
      <c r="AO108" s="1598"/>
      <c r="AP108" s="1598"/>
      <c r="AQ108" s="1598">
        <f t="shared" si="59"/>
        <v>0</v>
      </c>
      <c r="AR108" s="1507"/>
      <c r="AS108" s="1599"/>
      <c r="AT108" s="1427"/>
      <c r="AU108" s="1510"/>
      <c r="AV108" s="1600"/>
      <c r="AW108" s="1600">
        <f t="shared" si="60"/>
        <v>0</v>
      </c>
      <c r="AX108" s="1512"/>
      <c r="AY108" s="1514" t="e">
        <f>+AX108/AR108*100</f>
        <v>#DIV/0!</v>
      </c>
      <c r="AZ108" s="1517"/>
      <c r="BA108" s="1519" t="e">
        <f>+AZ108/AT108*100</f>
        <v>#DIV/0!</v>
      </c>
      <c r="BB108" s="1517"/>
      <c r="BC108" s="1514" t="e">
        <f>+BB108/AY108*100</f>
        <v>#DIV/0!</v>
      </c>
      <c r="BD108" s="1395"/>
      <c r="BE108" s="1395"/>
      <c r="BF108" s="1395"/>
      <c r="BG108" s="1395">
        <f t="shared" si="61"/>
        <v>0</v>
      </c>
      <c r="BH108" s="1395"/>
      <c r="BI108" s="1395"/>
      <c r="BJ108" s="1395"/>
      <c r="BK108" s="1395"/>
      <c r="BL108" s="1395"/>
      <c r="BM108" s="1395"/>
      <c r="BN108" s="1395"/>
      <c r="BO108" s="1395"/>
      <c r="BP108" s="1395"/>
      <c r="BQ108" s="1395">
        <f t="shared" si="62"/>
        <v>0</v>
      </c>
      <c r="BR108" s="1395"/>
      <c r="BS108" s="1395"/>
      <c r="BT108" s="1395"/>
      <c r="BU108" s="1395">
        <f t="shared" si="63"/>
        <v>0</v>
      </c>
      <c r="BV108" s="1395"/>
      <c r="BW108" s="1395"/>
      <c r="BX108" s="1395"/>
      <c r="BY108" s="1395">
        <f t="shared" si="64"/>
        <v>0</v>
      </c>
      <c r="BZ108" s="1433"/>
      <c r="CA108" s="1481"/>
      <c r="CB108" s="1478" t="e">
        <f>+CA108/BX108*100</f>
        <v>#DIV/0!</v>
      </c>
      <c r="CC108" s="1663"/>
      <c r="CD108" s="1736"/>
      <c r="CE108" s="528"/>
      <c r="CF108" s="528"/>
      <c r="CG108" s="529"/>
      <c r="CH108" s="64"/>
      <c r="CI108" s="64"/>
      <c r="CJ108" s="64"/>
      <c r="CL108" s="522"/>
      <c r="CX108" s="911">
        <f t="shared" si="24"/>
        <v>0</v>
      </c>
      <c r="CY108" s="1010"/>
      <c r="DA108" s="1102"/>
    </row>
    <row r="109" spans="1:107" s="68" customFormat="1" ht="67.5" x14ac:dyDescent="0.2">
      <c r="A109" s="16"/>
      <c r="C109" s="525"/>
      <c r="D109" s="525"/>
      <c r="E109" s="524"/>
      <c r="F109" s="525"/>
      <c r="G109" s="525"/>
      <c r="H109" s="525"/>
      <c r="I109" s="525"/>
      <c r="J109" s="1475"/>
      <c r="K109" s="1562"/>
      <c r="L109" s="615"/>
      <c r="M109" s="615"/>
      <c r="N109" s="615"/>
      <c r="O109" s="615"/>
      <c r="P109" s="1451"/>
      <c r="Q109" s="1444"/>
      <c r="R109" s="1444"/>
      <c r="S109" s="1444"/>
      <c r="T109" s="1444"/>
      <c r="U109" s="507" t="s">
        <v>145</v>
      </c>
      <c r="V109" s="508" t="s">
        <v>137</v>
      </c>
      <c r="W109" s="425">
        <v>15</v>
      </c>
      <c r="X109" s="425">
        <v>19</v>
      </c>
      <c r="Y109" s="1113">
        <v>25</v>
      </c>
      <c r="Z109" s="506" t="s">
        <v>1070</v>
      </c>
      <c r="AA109" s="1156">
        <f>+Y109</f>
        <v>25</v>
      </c>
      <c r="AB109" s="425">
        <v>15</v>
      </c>
      <c r="AC109" s="425">
        <v>10</v>
      </c>
      <c r="AD109" s="223">
        <f>(((AC109/AB109*100)*AM107)/100)</f>
        <v>16.666666666666664</v>
      </c>
      <c r="AE109" s="506" t="s">
        <v>1201</v>
      </c>
      <c r="AF109" s="425">
        <v>66.67</v>
      </c>
      <c r="AG109" s="425">
        <v>15</v>
      </c>
      <c r="AH109" s="425">
        <v>15</v>
      </c>
      <c r="AI109" s="425">
        <f>+AH109+AG109+AB109+W109</f>
        <v>60</v>
      </c>
      <c r="AJ109" s="1136">
        <f t="shared" si="65"/>
        <v>29</v>
      </c>
      <c r="AK109" s="424">
        <f t="shared" si="66"/>
        <v>48.333333333333336</v>
      </c>
      <c r="AL109" s="1412"/>
      <c r="AM109" s="1412"/>
      <c r="AN109" s="509"/>
      <c r="AO109" s="1598"/>
      <c r="AP109" s="1598"/>
      <c r="AQ109" s="1598">
        <f t="shared" si="59"/>
        <v>0</v>
      </c>
      <c r="AR109" s="1507"/>
      <c r="AS109" s="1599"/>
      <c r="AT109" s="1427"/>
      <c r="AU109" s="1510"/>
      <c r="AV109" s="1600"/>
      <c r="AW109" s="1600">
        <f t="shared" si="60"/>
        <v>0</v>
      </c>
      <c r="AX109" s="1512"/>
      <c r="AY109" s="1514" t="e">
        <f>+AX109/AR109*100</f>
        <v>#DIV/0!</v>
      </c>
      <c r="AZ109" s="1517"/>
      <c r="BA109" s="1519" t="e">
        <f>+AZ109/AT109*100</f>
        <v>#DIV/0!</v>
      </c>
      <c r="BB109" s="1517"/>
      <c r="BC109" s="1514" t="e">
        <f>+BB109/AY109*100</f>
        <v>#DIV/0!</v>
      </c>
      <c r="BD109" s="1395"/>
      <c r="BE109" s="1395"/>
      <c r="BF109" s="1395"/>
      <c r="BG109" s="1395">
        <f t="shared" si="61"/>
        <v>0</v>
      </c>
      <c r="BH109" s="1395"/>
      <c r="BI109" s="1395"/>
      <c r="BJ109" s="1395"/>
      <c r="BK109" s="1395"/>
      <c r="BL109" s="1395"/>
      <c r="BM109" s="1395"/>
      <c r="BN109" s="1395"/>
      <c r="BO109" s="1395"/>
      <c r="BP109" s="1395"/>
      <c r="BQ109" s="1395">
        <f t="shared" si="62"/>
        <v>0</v>
      </c>
      <c r="BR109" s="1395"/>
      <c r="BS109" s="1395"/>
      <c r="BT109" s="1395"/>
      <c r="BU109" s="1395">
        <f t="shared" si="63"/>
        <v>0</v>
      </c>
      <c r="BV109" s="1395"/>
      <c r="BW109" s="1395"/>
      <c r="BX109" s="1395"/>
      <c r="BY109" s="1395">
        <f t="shared" si="64"/>
        <v>0</v>
      </c>
      <c r="BZ109" s="1433"/>
      <c r="CA109" s="1481"/>
      <c r="CB109" s="1478" t="e">
        <f>+CA109/BX109*100</f>
        <v>#DIV/0!</v>
      </c>
      <c r="CC109" s="1663"/>
      <c r="CD109" s="1736"/>
      <c r="CE109" s="528"/>
      <c r="CF109" s="528"/>
      <c r="CG109" s="529"/>
      <c r="CH109" s="64"/>
      <c r="CI109" s="64"/>
      <c r="CJ109" s="64"/>
      <c r="CL109" s="522"/>
      <c r="CX109" s="911">
        <f t="shared" si="24"/>
        <v>0</v>
      </c>
      <c r="CY109" s="1010"/>
      <c r="DA109" s="1102"/>
    </row>
    <row r="110" spans="1:107" s="68" customFormat="1" ht="78.75" x14ac:dyDescent="0.2">
      <c r="A110" s="16" t="s">
        <v>79</v>
      </c>
      <c r="C110" s="525"/>
      <c r="D110" s="616"/>
      <c r="E110" s="524"/>
      <c r="F110" s="525"/>
      <c r="G110" s="525"/>
      <c r="H110" s="525"/>
      <c r="I110" s="525"/>
      <c r="J110" s="1475"/>
      <c r="K110" s="1562"/>
      <c r="L110" s="615"/>
      <c r="M110" s="615"/>
      <c r="N110" s="615"/>
      <c r="O110" s="615"/>
      <c r="P110" s="16" t="s">
        <v>146</v>
      </c>
      <c r="Q110" s="568">
        <v>25</v>
      </c>
      <c r="R110" s="568">
        <v>25</v>
      </c>
      <c r="S110" s="568">
        <v>25</v>
      </c>
      <c r="T110" s="568">
        <v>25</v>
      </c>
      <c r="U110" s="507" t="s">
        <v>780</v>
      </c>
      <c r="V110" s="508" t="s">
        <v>147</v>
      </c>
      <c r="W110" s="425">
        <v>100</v>
      </c>
      <c r="X110" s="425">
        <v>100</v>
      </c>
      <c r="Y110" s="1113">
        <f>(((X110/W110*100)*AL110)/100)</f>
        <v>25</v>
      </c>
      <c r="Z110" s="506" t="s">
        <v>1071</v>
      </c>
      <c r="AA110" s="1156">
        <f>+Y110</f>
        <v>25</v>
      </c>
      <c r="AB110" s="425">
        <v>100</v>
      </c>
      <c r="AC110" s="1328">
        <v>9.68</v>
      </c>
      <c r="AD110" s="223">
        <f>(((AC110/AB110*100)*AM110)/100)</f>
        <v>2.42</v>
      </c>
      <c r="AE110" s="506" t="s">
        <v>1202</v>
      </c>
      <c r="AF110" s="425">
        <v>9.68</v>
      </c>
      <c r="AG110" s="425">
        <v>100</v>
      </c>
      <c r="AH110" s="425">
        <v>100</v>
      </c>
      <c r="AI110" s="425">
        <v>100</v>
      </c>
      <c r="AJ110" s="1136">
        <f>(68/248)*100</f>
        <v>27.419354838709676</v>
      </c>
      <c r="AK110" s="424">
        <v>25</v>
      </c>
      <c r="AL110" s="1310">
        <v>25</v>
      </c>
      <c r="AM110" s="1310">
        <v>25</v>
      </c>
      <c r="AN110" s="506" t="s">
        <v>781</v>
      </c>
      <c r="AO110" s="1598"/>
      <c r="AP110" s="1598"/>
      <c r="AQ110" s="1598">
        <f t="shared" si="59"/>
        <v>0</v>
      </c>
      <c r="AR110" s="1507"/>
      <c r="AS110" s="1599"/>
      <c r="AT110" s="1427"/>
      <c r="AU110" s="1510"/>
      <c r="AV110" s="1600"/>
      <c r="AW110" s="1600">
        <f t="shared" si="60"/>
        <v>0</v>
      </c>
      <c r="AX110" s="1512"/>
      <c r="AY110" s="1514" t="e">
        <f>+AX110/AR110*100</f>
        <v>#DIV/0!</v>
      </c>
      <c r="AZ110" s="1517"/>
      <c r="BA110" s="1519" t="e">
        <f>+AZ110/AT110*100</f>
        <v>#DIV/0!</v>
      </c>
      <c r="BB110" s="1517"/>
      <c r="BC110" s="1514" t="e">
        <f>+BB110/AY110*100</f>
        <v>#DIV/0!</v>
      </c>
      <c r="BD110" s="1395"/>
      <c r="BE110" s="1395"/>
      <c r="BF110" s="1395"/>
      <c r="BG110" s="1395">
        <f t="shared" si="61"/>
        <v>0</v>
      </c>
      <c r="BH110" s="1395"/>
      <c r="BI110" s="1395"/>
      <c r="BJ110" s="1395"/>
      <c r="BK110" s="1395"/>
      <c r="BL110" s="1395"/>
      <c r="BM110" s="1395"/>
      <c r="BN110" s="1395"/>
      <c r="BO110" s="1395"/>
      <c r="BP110" s="1395"/>
      <c r="BQ110" s="1395">
        <f t="shared" si="62"/>
        <v>0</v>
      </c>
      <c r="BR110" s="1395"/>
      <c r="BS110" s="1395"/>
      <c r="BT110" s="1395"/>
      <c r="BU110" s="1395">
        <f t="shared" si="63"/>
        <v>0</v>
      </c>
      <c r="BV110" s="1395"/>
      <c r="BW110" s="1395"/>
      <c r="BX110" s="1395"/>
      <c r="BY110" s="1395">
        <f t="shared" si="64"/>
        <v>0</v>
      </c>
      <c r="BZ110" s="1433"/>
      <c r="CA110" s="1481"/>
      <c r="CB110" s="1478" t="e">
        <f>+CA110/BX110*100</f>
        <v>#DIV/0!</v>
      </c>
      <c r="CC110" s="1663"/>
      <c r="CD110" s="1736"/>
      <c r="CE110" s="528"/>
      <c r="CF110" s="528"/>
      <c r="CG110" s="529"/>
      <c r="CH110" s="64"/>
      <c r="CI110" s="64"/>
      <c r="CJ110" s="64"/>
      <c r="CL110" s="522"/>
      <c r="CX110" s="911">
        <f t="shared" si="24"/>
        <v>0</v>
      </c>
      <c r="CY110" s="1010"/>
      <c r="DA110" s="1104" t="s">
        <v>1206</v>
      </c>
    </row>
    <row r="111" spans="1:107" s="68" customFormat="1" ht="112.5" x14ac:dyDescent="0.2">
      <c r="A111" s="16" t="s">
        <v>80</v>
      </c>
      <c r="C111" s="525"/>
      <c r="D111" s="525"/>
      <c r="E111" s="524"/>
      <c r="F111" s="525"/>
      <c r="G111" s="525"/>
      <c r="H111" s="525"/>
      <c r="I111" s="525"/>
      <c r="J111" s="1475"/>
      <c r="K111" s="1562"/>
      <c r="L111" s="615"/>
      <c r="M111" s="615"/>
      <c r="N111" s="615"/>
      <c r="O111" s="615"/>
      <c r="P111" s="16" t="s">
        <v>805</v>
      </c>
      <c r="Q111" s="568">
        <v>25</v>
      </c>
      <c r="R111" s="568">
        <v>25</v>
      </c>
      <c r="S111" s="568">
        <v>25</v>
      </c>
      <c r="T111" s="568">
        <v>25</v>
      </c>
      <c r="U111" s="507" t="s">
        <v>149</v>
      </c>
      <c r="V111" s="508" t="s">
        <v>137</v>
      </c>
      <c r="W111" s="425">
        <v>200</v>
      </c>
      <c r="X111" s="425">
        <v>426</v>
      </c>
      <c r="Y111" s="1113">
        <v>25</v>
      </c>
      <c r="Z111" s="506" t="s">
        <v>1072</v>
      </c>
      <c r="AA111" s="1156">
        <v>0</v>
      </c>
      <c r="AB111" s="425">
        <v>200</v>
      </c>
      <c r="AC111" s="425">
        <v>213</v>
      </c>
      <c r="AD111" s="223">
        <v>25</v>
      </c>
      <c r="AE111" s="506" t="s">
        <v>1203</v>
      </c>
      <c r="AF111" s="425">
        <v>100</v>
      </c>
      <c r="AG111" s="425">
        <v>200</v>
      </c>
      <c r="AH111" s="425">
        <v>200</v>
      </c>
      <c r="AI111" s="425">
        <f>+AH111+AG111+AB111+W111</f>
        <v>800</v>
      </c>
      <c r="AJ111" s="1136">
        <f t="shared" si="65"/>
        <v>639</v>
      </c>
      <c r="AK111" s="424">
        <f t="shared" si="66"/>
        <v>79.875</v>
      </c>
      <c r="AL111" s="1310">
        <v>25</v>
      </c>
      <c r="AM111" s="1310">
        <v>25</v>
      </c>
      <c r="AN111" s="509"/>
      <c r="AO111" s="1598"/>
      <c r="AP111" s="1598"/>
      <c r="AQ111" s="1598">
        <f t="shared" si="59"/>
        <v>0</v>
      </c>
      <c r="AR111" s="1507"/>
      <c r="AS111" s="1599"/>
      <c r="AT111" s="1427"/>
      <c r="AU111" s="1510"/>
      <c r="AV111" s="1600"/>
      <c r="AW111" s="1600">
        <f t="shared" si="60"/>
        <v>0</v>
      </c>
      <c r="AX111" s="1512"/>
      <c r="AY111" s="1514" t="e">
        <f>+AX111/AR111*100</f>
        <v>#DIV/0!</v>
      </c>
      <c r="AZ111" s="1517"/>
      <c r="BA111" s="1519" t="e">
        <f>+AZ111/AT111*100</f>
        <v>#DIV/0!</v>
      </c>
      <c r="BB111" s="1517"/>
      <c r="BC111" s="1514" t="e">
        <f>+BB111/AY111*100</f>
        <v>#DIV/0!</v>
      </c>
      <c r="BD111" s="1395"/>
      <c r="BE111" s="1395"/>
      <c r="BF111" s="1395"/>
      <c r="BG111" s="1395">
        <f t="shared" si="61"/>
        <v>0</v>
      </c>
      <c r="BH111" s="1395"/>
      <c r="BI111" s="1395"/>
      <c r="BJ111" s="1395"/>
      <c r="BK111" s="1395"/>
      <c r="BL111" s="1395"/>
      <c r="BM111" s="1395"/>
      <c r="BN111" s="1395"/>
      <c r="BO111" s="1395"/>
      <c r="BP111" s="1395"/>
      <c r="BQ111" s="1395">
        <f t="shared" si="62"/>
        <v>0</v>
      </c>
      <c r="BR111" s="1395"/>
      <c r="BS111" s="1395"/>
      <c r="BT111" s="1395"/>
      <c r="BU111" s="1395">
        <f t="shared" si="63"/>
        <v>0</v>
      </c>
      <c r="BV111" s="1395"/>
      <c r="BW111" s="1395"/>
      <c r="BX111" s="1395"/>
      <c r="BY111" s="1395">
        <f t="shared" si="64"/>
        <v>0</v>
      </c>
      <c r="BZ111" s="1433"/>
      <c r="CA111" s="1481"/>
      <c r="CB111" s="1478" t="e">
        <f>+CA111/BX111*100</f>
        <v>#DIV/0!</v>
      </c>
      <c r="CC111" s="1663"/>
      <c r="CD111" s="1736"/>
      <c r="CE111" s="528"/>
      <c r="CF111" s="528"/>
      <c r="CG111" s="529"/>
      <c r="CH111" s="64"/>
      <c r="CI111" s="64"/>
      <c r="CJ111" s="64"/>
      <c r="CL111" s="522"/>
      <c r="CX111" s="911">
        <f t="shared" si="24"/>
        <v>0</v>
      </c>
      <c r="CY111" s="1010"/>
      <c r="DA111" s="1104" t="s">
        <v>1204</v>
      </c>
      <c r="DC111" s="68" t="e">
        <f>+IF(((G10/F10)*100)&lt;100,(G10/F10)*100,100)</f>
        <v>#DIV/0!</v>
      </c>
    </row>
    <row r="112" spans="1:107" s="68" customFormat="1" ht="202.5" x14ac:dyDescent="0.2">
      <c r="A112" s="16" t="s">
        <v>81</v>
      </c>
      <c r="C112" s="525"/>
      <c r="D112" s="525"/>
      <c r="E112" s="524"/>
      <c r="F112" s="525"/>
      <c r="G112" s="525"/>
      <c r="H112" s="525"/>
      <c r="I112" s="525"/>
      <c r="J112" s="1522"/>
      <c r="K112" s="1536"/>
      <c r="L112" s="208"/>
      <c r="M112" s="208"/>
      <c r="N112" s="208"/>
      <c r="O112" s="208"/>
      <c r="P112" s="16" t="s">
        <v>150</v>
      </c>
      <c r="Q112" s="568">
        <v>25</v>
      </c>
      <c r="R112" s="568">
        <v>25</v>
      </c>
      <c r="S112" s="568">
        <v>25</v>
      </c>
      <c r="T112" s="568">
        <v>25</v>
      </c>
      <c r="U112" s="507" t="s">
        <v>151</v>
      </c>
      <c r="V112" s="508" t="s">
        <v>137</v>
      </c>
      <c r="W112" s="425">
        <v>120</v>
      </c>
      <c r="X112" s="425">
        <v>120</v>
      </c>
      <c r="Y112" s="1113">
        <f>(((X112/W112*100)*AL112)/100)</f>
        <v>25</v>
      </c>
      <c r="Z112" s="506" t="s">
        <v>1073</v>
      </c>
      <c r="AA112" s="1156">
        <f>+Y112</f>
        <v>25</v>
      </c>
      <c r="AB112" s="425">
        <v>120</v>
      </c>
      <c r="AC112" s="425">
        <v>6</v>
      </c>
      <c r="AD112" s="223">
        <f>(((AC112/AB112*100)*AM112)/100)</f>
        <v>1.25</v>
      </c>
      <c r="AE112" s="506" t="s">
        <v>1205</v>
      </c>
      <c r="AF112" s="425">
        <v>5</v>
      </c>
      <c r="AG112" s="425">
        <v>120</v>
      </c>
      <c r="AH112" s="425">
        <v>120</v>
      </c>
      <c r="AI112" s="425">
        <f>+AH112+AG112+AB112+W112</f>
        <v>480</v>
      </c>
      <c r="AJ112" s="1136">
        <f t="shared" si="65"/>
        <v>126</v>
      </c>
      <c r="AK112" s="424">
        <f t="shared" si="66"/>
        <v>26.25</v>
      </c>
      <c r="AL112" s="1310">
        <v>25</v>
      </c>
      <c r="AM112" s="1310">
        <v>25</v>
      </c>
      <c r="AN112" s="509"/>
      <c r="AO112" s="1598"/>
      <c r="AP112" s="1598"/>
      <c r="AQ112" s="1598">
        <f t="shared" si="59"/>
        <v>0</v>
      </c>
      <c r="AR112" s="1508"/>
      <c r="AS112" s="1599"/>
      <c r="AT112" s="1428"/>
      <c r="AU112" s="1511"/>
      <c r="AV112" s="1600"/>
      <c r="AW112" s="1600">
        <f t="shared" si="60"/>
        <v>0</v>
      </c>
      <c r="AX112" s="1430"/>
      <c r="AY112" s="1515" t="e">
        <f>+AX112/AR112*100</f>
        <v>#DIV/0!</v>
      </c>
      <c r="AZ112" s="1518"/>
      <c r="BA112" s="1520" t="e">
        <f>+AZ112/AT112*100</f>
        <v>#DIV/0!</v>
      </c>
      <c r="BB112" s="1518"/>
      <c r="BC112" s="1515" t="e">
        <f>+BB112/AY112*100</f>
        <v>#DIV/0!</v>
      </c>
      <c r="BD112" s="1395"/>
      <c r="BE112" s="1395"/>
      <c r="BF112" s="1395"/>
      <c r="BG112" s="1395">
        <f t="shared" si="61"/>
        <v>0</v>
      </c>
      <c r="BH112" s="1395"/>
      <c r="BI112" s="1395"/>
      <c r="BJ112" s="1395"/>
      <c r="BK112" s="1395"/>
      <c r="BL112" s="1395"/>
      <c r="BM112" s="1395"/>
      <c r="BN112" s="1395"/>
      <c r="BO112" s="1395"/>
      <c r="BP112" s="1395"/>
      <c r="BQ112" s="1395">
        <f t="shared" si="62"/>
        <v>0</v>
      </c>
      <c r="BR112" s="1395"/>
      <c r="BS112" s="1395"/>
      <c r="BT112" s="1395"/>
      <c r="BU112" s="1395">
        <f t="shared" si="63"/>
        <v>0</v>
      </c>
      <c r="BV112" s="1395"/>
      <c r="BW112" s="1395"/>
      <c r="BX112" s="1395"/>
      <c r="BY112" s="1395">
        <f t="shared" si="64"/>
        <v>0</v>
      </c>
      <c r="BZ112" s="1440"/>
      <c r="CA112" s="1482"/>
      <c r="CB112" s="1479" t="e">
        <f>+CA112/BX112*100</f>
        <v>#DIV/0!</v>
      </c>
      <c r="CC112" s="1663"/>
      <c r="CD112" s="1737"/>
      <c r="CE112" s="528"/>
      <c r="CF112" s="528"/>
      <c r="CG112" s="529"/>
      <c r="CH112" s="64"/>
      <c r="CI112" s="64"/>
      <c r="CJ112" s="64"/>
      <c r="CL112" s="518"/>
      <c r="CX112" s="911">
        <f t="shared" si="24"/>
        <v>0</v>
      </c>
      <c r="CY112" s="1010"/>
      <c r="DA112" s="1102"/>
    </row>
    <row r="113" spans="1:107" s="830" customFormat="1" ht="67.5" x14ac:dyDescent="0.2">
      <c r="A113" s="814" t="s">
        <v>86</v>
      </c>
      <c r="C113" s="848"/>
      <c r="D113" s="848"/>
      <c r="E113" s="832"/>
      <c r="F113" s="848"/>
      <c r="G113" s="848"/>
      <c r="H113" s="848"/>
      <c r="I113" s="848"/>
      <c r="J113" s="1138" t="s">
        <v>861</v>
      </c>
      <c r="K113" s="1138"/>
      <c r="L113" s="1209">
        <v>20</v>
      </c>
      <c r="M113" s="1209">
        <v>20</v>
      </c>
      <c r="N113" s="1209">
        <v>20</v>
      </c>
      <c r="O113" s="1209">
        <v>20</v>
      </c>
      <c r="P113" s="1138"/>
      <c r="Q113" s="1227"/>
      <c r="R113" s="1227"/>
      <c r="S113" s="1227"/>
      <c r="T113" s="1227"/>
      <c r="U113" s="1227"/>
      <c r="V113" s="1228"/>
      <c r="W113" s="1229"/>
      <c r="X113" s="1229"/>
      <c r="Y113" s="1139">
        <f>(((Y114)*AL113)/100)</f>
        <v>15.687999999999999</v>
      </c>
      <c r="Z113" s="1139"/>
      <c r="AA113" s="1139">
        <f>((((AA114)/1)*AL113)/100)</f>
        <v>15.687999999999999</v>
      </c>
      <c r="AB113" s="1139"/>
      <c r="AC113" s="1139"/>
      <c r="AD113" s="1139">
        <f>(((AD114)*AM113)/100)</f>
        <v>14.531999999999998</v>
      </c>
      <c r="AE113" s="1139"/>
      <c r="AF113" s="1276">
        <f>+AF114</f>
        <v>72.66</v>
      </c>
      <c r="AG113" s="1139"/>
      <c r="AH113" s="1139"/>
      <c r="AI113" s="1139"/>
      <c r="AJ113" s="1277"/>
      <c r="AK113" s="1139">
        <f>((AK114)/1)</f>
        <v>19.61</v>
      </c>
      <c r="AL113" s="1139">
        <f>+L113</f>
        <v>20</v>
      </c>
      <c r="AM113" s="1139">
        <v>20</v>
      </c>
      <c r="AN113" s="1139"/>
      <c r="AO113" s="821">
        <f>+AO114</f>
        <v>70000000</v>
      </c>
      <c r="AP113" s="821">
        <f>+AP114</f>
        <v>0</v>
      </c>
      <c r="AQ113" s="821">
        <f t="shared" si="59"/>
        <v>70000000</v>
      </c>
      <c r="AR113" s="822">
        <f>+AR114</f>
        <v>140000000</v>
      </c>
      <c r="AS113" s="822">
        <f>+AS114</f>
        <v>0</v>
      </c>
      <c r="AT113" s="822">
        <f>+AT114</f>
        <v>140000000</v>
      </c>
      <c r="AU113" s="823">
        <f>+AU114</f>
        <v>140000000</v>
      </c>
      <c r="AV113" s="823">
        <f>+AV114</f>
        <v>0</v>
      </c>
      <c r="AW113" s="823">
        <f t="shared" si="60"/>
        <v>140000000</v>
      </c>
      <c r="AX113" s="824">
        <f>+AX114</f>
        <v>96138006</v>
      </c>
      <c r="AY113" s="825">
        <f t="shared" ref="AY113:AY119" si="67">+AX113/AW113*100</f>
        <v>68.670004285714285</v>
      </c>
      <c r="AZ113" s="826">
        <f>+AZ114</f>
        <v>95580238</v>
      </c>
      <c r="BA113" s="825">
        <f t="shared" ref="BA113:BA119" si="68">+AZ113/AW113*100</f>
        <v>68.271598571428569</v>
      </c>
      <c r="BB113" s="826">
        <f>+BB114</f>
        <v>95580238</v>
      </c>
      <c r="BC113" s="825">
        <f t="shared" ref="BC113:BC119" si="69">+BB113/AW113*100</f>
        <v>68.271598571428569</v>
      </c>
      <c r="BD113" s="947">
        <f>+BD114</f>
        <v>101000000</v>
      </c>
      <c r="BE113" s="947">
        <f>+BE114</f>
        <v>0</v>
      </c>
      <c r="BF113" s="947">
        <f>+BF114</f>
        <v>0</v>
      </c>
      <c r="BG113" s="947">
        <f t="shared" si="61"/>
        <v>101000000</v>
      </c>
      <c r="BH113" s="947">
        <f>+BH114</f>
        <v>64105374</v>
      </c>
      <c r="BI113" s="947">
        <f>+BH113/BG113*100</f>
        <v>63.470667326732681</v>
      </c>
      <c r="BJ113" s="947">
        <f>+BJ114</f>
        <v>8625458</v>
      </c>
      <c r="BK113" s="947">
        <f>+BJ113/BG113*100</f>
        <v>8.5400574257425745</v>
      </c>
      <c r="BL113" s="947">
        <f>+BL114</f>
        <v>8625458</v>
      </c>
      <c r="BM113" s="947">
        <f>+BL113/BG113*100</f>
        <v>8.5400574257425745</v>
      </c>
      <c r="BN113" s="947">
        <f>+BN114</f>
        <v>71000000</v>
      </c>
      <c r="BO113" s="947">
        <f>+BO114</f>
        <v>0</v>
      </c>
      <c r="BP113" s="947">
        <f>+BP114</f>
        <v>0</v>
      </c>
      <c r="BQ113" s="947">
        <f t="shared" si="62"/>
        <v>71000000</v>
      </c>
      <c r="BR113" s="947">
        <f>+BR114</f>
        <v>72000000</v>
      </c>
      <c r="BS113" s="947">
        <f>+BS114</f>
        <v>0</v>
      </c>
      <c r="BT113" s="947">
        <f>+BT114</f>
        <v>0</v>
      </c>
      <c r="BU113" s="947">
        <f t="shared" si="63"/>
        <v>72000000</v>
      </c>
      <c r="BV113" s="947">
        <f>+BV114</f>
        <v>73440000</v>
      </c>
      <c r="BW113" s="947">
        <f>+BW114</f>
        <v>0</v>
      </c>
      <c r="BX113" s="947">
        <f>+BX114</f>
        <v>0</v>
      </c>
      <c r="BY113" s="947">
        <f t="shared" si="64"/>
        <v>73440000</v>
      </c>
      <c r="BZ113" s="948">
        <f>+BZ114</f>
        <v>386440000</v>
      </c>
      <c r="CA113" s="948">
        <f>+CA114</f>
        <v>160243380</v>
      </c>
      <c r="CB113" s="949">
        <f t="shared" ref="CB113:CB118" si="70">+CA113/BZ113*100</f>
        <v>41.466561432563914</v>
      </c>
      <c r="CC113" s="827"/>
      <c r="CD113" s="825"/>
      <c r="CE113" s="828"/>
      <c r="CF113" s="834">
        <f>+BZ114</f>
        <v>386440000</v>
      </c>
      <c r="CG113" s="829">
        <v>70000000</v>
      </c>
      <c r="CH113" s="815"/>
      <c r="CI113" s="815"/>
      <c r="CJ113" s="846"/>
      <c r="CL113" s="821"/>
      <c r="CX113" s="911">
        <f t="shared" si="24"/>
        <v>30000000</v>
      </c>
      <c r="CY113" s="1009"/>
      <c r="DA113" s="1067"/>
    </row>
    <row r="114" spans="1:107" s="68" customFormat="1" ht="168.75" customHeight="1" x14ac:dyDescent="0.2">
      <c r="A114" s="16"/>
      <c r="C114" s="525"/>
      <c r="D114" s="525"/>
      <c r="E114" s="524"/>
      <c r="F114" s="525"/>
      <c r="G114" s="525"/>
      <c r="H114" s="525"/>
      <c r="I114" s="525"/>
      <c r="J114" s="617"/>
      <c r="K114" s="16" t="s">
        <v>421</v>
      </c>
      <c r="L114" s="16"/>
      <c r="M114" s="16"/>
      <c r="N114" s="16"/>
      <c r="O114" s="16"/>
      <c r="P114" s="16" t="s">
        <v>782</v>
      </c>
      <c r="Q114" s="568">
        <v>100</v>
      </c>
      <c r="R114" s="568">
        <v>100</v>
      </c>
      <c r="S114" s="568">
        <v>100</v>
      </c>
      <c r="T114" s="568">
        <v>100</v>
      </c>
      <c r="U114" s="602" t="s">
        <v>463</v>
      </c>
      <c r="V114" s="599" t="s">
        <v>147</v>
      </c>
      <c r="W114" s="425">
        <v>100</v>
      </c>
      <c r="X114" s="425">
        <v>78.44</v>
      </c>
      <c r="Y114" s="1113">
        <f>(((X114/W114*100)*AL114)/100)</f>
        <v>78.44</v>
      </c>
      <c r="Z114" s="506" t="s">
        <v>1074</v>
      </c>
      <c r="AA114" s="1156">
        <f>+Y114</f>
        <v>78.44</v>
      </c>
      <c r="AB114" s="425">
        <v>100</v>
      </c>
      <c r="AC114" s="1328">
        <v>72.66</v>
      </c>
      <c r="AD114" s="223">
        <f>(((AC114/AB114*100)*AM114)/100)</f>
        <v>72.66</v>
      </c>
      <c r="AE114" s="506" t="s">
        <v>1207</v>
      </c>
      <c r="AF114" s="425">
        <v>72.66</v>
      </c>
      <c r="AG114" s="425">
        <v>100</v>
      </c>
      <c r="AH114" s="425">
        <v>100</v>
      </c>
      <c r="AI114" s="425">
        <v>100</v>
      </c>
      <c r="AJ114" s="1136">
        <f>+X114+AC114</f>
        <v>151.1</v>
      </c>
      <c r="AK114" s="424">
        <v>19.61</v>
      </c>
      <c r="AL114" s="1310">
        <v>100</v>
      </c>
      <c r="AM114" s="1310">
        <v>100</v>
      </c>
      <c r="AN114" s="560"/>
      <c r="AO114" s="739">
        <v>70000000</v>
      </c>
      <c r="AP114" s="739"/>
      <c r="AQ114" s="739">
        <f t="shared" si="59"/>
        <v>70000000</v>
      </c>
      <c r="AR114" s="581">
        <v>140000000</v>
      </c>
      <c r="AS114" s="740"/>
      <c r="AT114" s="740">
        <f>+AS114+AR114</f>
        <v>140000000</v>
      </c>
      <c r="AU114" s="741">
        <v>140000000</v>
      </c>
      <c r="AV114" s="706"/>
      <c r="AW114" s="706">
        <f t="shared" si="60"/>
        <v>140000000</v>
      </c>
      <c r="AX114" s="776">
        <v>96138006</v>
      </c>
      <c r="AY114" s="680">
        <f t="shared" si="67"/>
        <v>68.670004285714285</v>
      </c>
      <c r="AZ114" s="678">
        <v>95580238</v>
      </c>
      <c r="BA114" s="680">
        <f t="shared" si="68"/>
        <v>68.271598571428569</v>
      </c>
      <c r="BB114" s="678">
        <v>95580238</v>
      </c>
      <c r="BC114" s="680">
        <f t="shared" si="69"/>
        <v>68.271598571428569</v>
      </c>
      <c r="BD114" s="1022">
        <v>101000000</v>
      </c>
      <c r="BE114" s="1022"/>
      <c r="BF114" s="1022"/>
      <c r="BG114" s="1022">
        <f t="shared" si="61"/>
        <v>101000000</v>
      </c>
      <c r="BH114" s="1079">
        <v>64105374</v>
      </c>
      <c r="BI114" s="1031">
        <f>+BH114/BG114*100</f>
        <v>63.470667326732681</v>
      </c>
      <c r="BJ114" s="1079">
        <v>8625458</v>
      </c>
      <c r="BK114" s="1031">
        <f>+BJ114/BG114*100</f>
        <v>8.5400574257425745</v>
      </c>
      <c r="BL114" s="1079">
        <v>8625458</v>
      </c>
      <c r="BM114" s="950">
        <f>+BL114/BG114*100</f>
        <v>8.5400574257425745</v>
      </c>
      <c r="BN114" s="950">
        <v>71000000</v>
      </c>
      <c r="BO114" s="950"/>
      <c r="BP114" s="950"/>
      <c r="BQ114" s="950">
        <f t="shared" si="62"/>
        <v>71000000</v>
      </c>
      <c r="BR114" s="950">
        <v>72000000</v>
      </c>
      <c r="BS114" s="950"/>
      <c r="BT114" s="950"/>
      <c r="BU114" s="950">
        <f t="shared" si="63"/>
        <v>72000000</v>
      </c>
      <c r="BV114" s="950">
        <f>+ROUND(BR114*0.02,0)+BR114</f>
        <v>73440000</v>
      </c>
      <c r="BW114" s="950"/>
      <c r="BX114" s="950"/>
      <c r="BY114" s="950">
        <f t="shared" si="64"/>
        <v>73440000</v>
      </c>
      <c r="BZ114" s="967">
        <f>+AW114+BG114+BU114+BY114</f>
        <v>386440000</v>
      </c>
      <c r="CA114" s="977">
        <f>+BH114+AX114</f>
        <v>160243380</v>
      </c>
      <c r="CB114" s="970">
        <f t="shared" si="70"/>
        <v>41.466561432563914</v>
      </c>
      <c r="CC114" s="695" t="s">
        <v>899</v>
      </c>
      <c r="CD114" s="1038" t="s">
        <v>1172</v>
      </c>
      <c r="CE114" s="528"/>
      <c r="CF114" s="528"/>
      <c r="CG114" s="529"/>
      <c r="CH114" s="64"/>
      <c r="CI114" s="64"/>
      <c r="CJ114" s="64"/>
      <c r="CL114" s="528"/>
      <c r="CX114" s="911">
        <f t="shared" si="24"/>
        <v>30000000</v>
      </c>
      <c r="CY114" s="1016"/>
      <c r="CZ114" s="1020"/>
      <c r="DA114" s="1104"/>
    </row>
    <row r="115" spans="1:107" s="830" customFormat="1" ht="78.75" x14ac:dyDescent="0.2">
      <c r="A115" s="819" t="s">
        <v>111</v>
      </c>
      <c r="C115" s="848"/>
      <c r="D115" s="848"/>
      <c r="E115" s="832"/>
      <c r="F115" s="848"/>
      <c r="G115" s="848"/>
      <c r="H115" s="848"/>
      <c r="I115" s="848"/>
      <c r="J115" s="1205" t="s">
        <v>862</v>
      </c>
      <c r="K115" s="1205"/>
      <c r="L115" s="1209">
        <v>40</v>
      </c>
      <c r="M115" s="1209">
        <v>40</v>
      </c>
      <c r="N115" s="1209">
        <v>40</v>
      </c>
      <c r="O115" s="1209">
        <v>40</v>
      </c>
      <c r="P115" s="1138"/>
      <c r="Q115" s="1227"/>
      <c r="R115" s="1227"/>
      <c r="S115" s="1227"/>
      <c r="T115" s="1227"/>
      <c r="U115" s="1227"/>
      <c r="V115" s="1228"/>
      <c r="W115" s="1229"/>
      <c r="X115" s="1229"/>
      <c r="Y115" s="1139">
        <f>(((Y116+Y117+((Y119+Y120+Y121+Y122+Y123+Y124+Y125)/7)+((Y127+Y128+Y129)/3)+Y130)*AL115)/100)</f>
        <v>34.828571428571429</v>
      </c>
      <c r="Z115" s="1139"/>
      <c r="AA115" s="1139">
        <f>((((AA116+AA117+AA119+AA120+AA121+AA122+AA123+AA124+AA125+AA127+AA128+AA129+AA130)/13)*AL115)/100)</f>
        <v>12.153846153846153</v>
      </c>
      <c r="AB115" s="1139"/>
      <c r="AC115" s="1139"/>
      <c r="AD115" s="1139">
        <f>(((AD116+AD117+((AD119+AD120+AD121+AD122+AD123+AD124+AD125+AD126)/8)+((AD127+AD128+AD129)/3)+AD130)*AM115)/100)</f>
        <v>16.274155844155846</v>
      </c>
      <c r="AE115" s="1139"/>
      <c r="AF115" s="1139">
        <v>40.69</v>
      </c>
      <c r="AG115" s="1139"/>
      <c r="AH115" s="1139"/>
      <c r="AI115" s="1139"/>
      <c r="AJ115" s="1139"/>
      <c r="AK115" s="1139">
        <f>((AK116+AK117+AK119+AK120+AK121+AK122+AK123+AK124+AK125+AK127+AK128+AK129+AK130)/13)</f>
        <v>30.597527472527474</v>
      </c>
      <c r="AL115" s="1139">
        <f>+L115</f>
        <v>40</v>
      </c>
      <c r="AM115" s="1139">
        <v>40</v>
      </c>
      <c r="AN115" s="1139"/>
      <c r="AO115" s="821">
        <f>+AO116+AO117+AO118+AO127+AO130</f>
        <v>1862945608</v>
      </c>
      <c r="AP115" s="821">
        <f>+AP116+AP117+AP118+AP127+AP130</f>
        <v>0</v>
      </c>
      <c r="AQ115" s="821">
        <f t="shared" si="59"/>
        <v>1862945608</v>
      </c>
      <c r="AR115" s="822">
        <f>+AR116+AR117+AR119+AR127+AR130</f>
        <v>3122622539</v>
      </c>
      <c r="AS115" s="822">
        <f>+AS116+AS117+AS118+AS127+AS130</f>
        <v>0</v>
      </c>
      <c r="AT115" s="822">
        <f>+AT116+AT117+AT119+AT127+AT130</f>
        <v>3122622539</v>
      </c>
      <c r="AU115" s="823">
        <f>+AU116+AU117+AU118+AU127+AU130</f>
        <v>3213122539</v>
      </c>
      <c r="AV115" s="823">
        <f>+AV116+AV117+AV118+AV127+AV130</f>
        <v>0</v>
      </c>
      <c r="AW115" s="823">
        <f t="shared" si="60"/>
        <v>3213122539</v>
      </c>
      <c r="AX115" s="824">
        <f>+AX116+AX117+AX119+AX127+AX130</f>
        <v>2557561834</v>
      </c>
      <c r="AY115" s="825">
        <f t="shared" si="67"/>
        <v>79.597394838105799</v>
      </c>
      <c r="AZ115" s="826">
        <f>+AZ116+AZ117+AZ119+AZ127+AZ130</f>
        <v>2477405600</v>
      </c>
      <c r="BA115" s="825">
        <f t="shared" si="68"/>
        <v>77.102742579217889</v>
      </c>
      <c r="BB115" s="826">
        <f>+BB116+BB117+BB119+BB127+BB130</f>
        <v>2477405600</v>
      </c>
      <c r="BC115" s="825">
        <f t="shared" si="69"/>
        <v>77.102742579217889</v>
      </c>
      <c r="BD115" s="947">
        <f>+BD116+BD117+BD118+BD127+BD130</f>
        <v>2197769355</v>
      </c>
      <c r="BE115" s="947">
        <f>+BE116+BE117+BE118+BE127+BE130</f>
        <v>0</v>
      </c>
      <c r="BF115" s="947">
        <f>+BF116+BF117+BF118+BF127+BF130</f>
        <v>1451646279</v>
      </c>
      <c r="BG115" s="947">
        <f t="shared" si="61"/>
        <v>3649415634</v>
      </c>
      <c r="BH115" s="947">
        <f>+SUM(BH116:BH130)</f>
        <v>1443716252</v>
      </c>
      <c r="BI115" s="947">
        <f>+BH115/BG115*100</f>
        <v>39.560203517229745</v>
      </c>
      <c r="BJ115" s="947">
        <f>+SUM(BJ116:BJ130)</f>
        <v>927876687</v>
      </c>
      <c r="BK115" s="947">
        <f>+BJ115/BG115*100</f>
        <v>25.425349701343446</v>
      </c>
      <c r="BL115" s="947">
        <f>+SUM(BL116:BL130)</f>
        <v>927876687</v>
      </c>
      <c r="BM115" s="947">
        <f>+BL115/BG115*100</f>
        <v>25.425349701343446</v>
      </c>
      <c r="BN115" s="947">
        <f>+BN116+BN117+BN118+BN127+BN130</f>
        <v>1960619000</v>
      </c>
      <c r="BO115" s="947">
        <f>+BO116+BO117+BO118+BO127+BO130</f>
        <v>0</v>
      </c>
      <c r="BP115" s="947">
        <f>+BP116+BP117+BP118+BP127+BP130</f>
        <v>0</v>
      </c>
      <c r="BQ115" s="947">
        <f t="shared" si="62"/>
        <v>1960619000</v>
      </c>
      <c r="BR115" s="947">
        <f>+BR116+BR117+BR118+BR127+BR130</f>
        <v>2060652330</v>
      </c>
      <c r="BS115" s="947">
        <f>+BS116+BS117+BS118+BS127+BS130</f>
        <v>0</v>
      </c>
      <c r="BT115" s="947">
        <f>+BT116+BT117+BT118+BT127+BT130</f>
        <v>0</v>
      </c>
      <c r="BU115" s="947">
        <f t="shared" si="63"/>
        <v>2060652330</v>
      </c>
      <c r="BV115" s="947">
        <f>+BV116+BV117+BV118+BV127+BV130</f>
        <v>2171596193</v>
      </c>
      <c r="BW115" s="947">
        <f>+BW116+BW117+BW118+BW127+BW130</f>
        <v>0</v>
      </c>
      <c r="BX115" s="947">
        <f>+BX116+BX117+BX118+BX127+BX130</f>
        <v>0</v>
      </c>
      <c r="BY115" s="947">
        <f>SUM(BV115:BX115)</f>
        <v>2171596193</v>
      </c>
      <c r="BZ115" s="948">
        <f>+BZ116+BZ117+BZ119+BZ120+BZ122+BZ123+BZ124+BZ126+BZ127+BZ130</f>
        <v>11094786696</v>
      </c>
      <c r="CA115" s="948">
        <f>+CA116+CA117+CA119+CA127+CA130</f>
        <v>4001278086</v>
      </c>
      <c r="CB115" s="949">
        <f t="shared" si="70"/>
        <v>36.064488625478305</v>
      </c>
      <c r="CC115" s="827"/>
      <c r="CD115" s="825"/>
      <c r="CE115" s="828"/>
      <c r="CF115" s="834">
        <f>+BZ116+BZ117+BZ118+BZ127+BZ130</f>
        <v>11094786696</v>
      </c>
      <c r="CG115" s="829">
        <v>459676931</v>
      </c>
      <c r="CH115" s="815"/>
      <c r="CI115" s="815"/>
      <c r="CJ115" s="846"/>
      <c r="CL115" s="821"/>
      <c r="CX115" s="911">
        <f t="shared" si="24"/>
        <v>237150355</v>
      </c>
      <c r="CY115" s="1009"/>
      <c r="DA115" s="1067"/>
    </row>
    <row r="116" spans="1:107" s="68" customFormat="1" ht="225" x14ac:dyDescent="0.2">
      <c r="A116" s="618" t="s">
        <v>112</v>
      </c>
      <c r="C116" s="539"/>
      <c r="D116" s="539"/>
      <c r="E116" s="524"/>
      <c r="F116" s="539"/>
      <c r="G116" s="539"/>
      <c r="H116" s="539"/>
      <c r="I116" s="539"/>
      <c r="J116" s="619"/>
      <c r="K116" s="1535" t="s">
        <v>816</v>
      </c>
      <c r="L116" s="540"/>
      <c r="M116" s="540"/>
      <c r="N116" s="540"/>
      <c r="O116" s="540"/>
      <c r="P116" s="620" t="s">
        <v>711</v>
      </c>
      <c r="Q116" s="621">
        <v>15</v>
      </c>
      <c r="R116" s="621">
        <v>15</v>
      </c>
      <c r="S116" s="621">
        <v>15</v>
      </c>
      <c r="T116" s="621">
        <v>15</v>
      </c>
      <c r="U116" s="16" t="s">
        <v>485</v>
      </c>
      <c r="V116" s="1155" t="s">
        <v>137</v>
      </c>
      <c r="W116" s="223">
        <v>100</v>
      </c>
      <c r="X116" s="223">
        <v>138</v>
      </c>
      <c r="Y116" s="1113">
        <v>15</v>
      </c>
      <c r="Z116" s="1121" t="s">
        <v>1075</v>
      </c>
      <c r="AA116" s="1302">
        <f>+Y116</f>
        <v>15</v>
      </c>
      <c r="AB116" s="223">
        <v>100</v>
      </c>
      <c r="AC116" s="223">
        <v>61</v>
      </c>
      <c r="AD116" s="223">
        <f>(((AC116/AB116*100)*AM116)/100)</f>
        <v>9.15</v>
      </c>
      <c r="AE116" s="1121" t="s">
        <v>1297</v>
      </c>
      <c r="AF116" s="223">
        <v>61</v>
      </c>
      <c r="AG116" s="223">
        <v>100</v>
      </c>
      <c r="AH116" s="223">
        <v>100</v>
      </c>
      <c r="AI116" s="425">
        <v>400</v>
      </c>
      <c r="AJ116" s="1136">
        <f>+X116+AC116</f>
        <v>199</v>
      </c>
      <c r="AK116" s="1320">
        <f>+AJ116/AI116*100</f>
        <v>49.75</v>
      </c>
      <c r="AL116" s="1310">
        <v>15</v>
      </c>
      <c r="AM116" s="1310">
        <v>15</v>
      </c>
      <c r="AN116" s="622"/>
      <c r="AO116" s="197">
        <v>40000000</v>
      </c>
      <c r="AP116" s="197"/>
      <c r="AQ116" s="197">
        <f t="shared" si="59"/>
        <v>40000000</v>
      </c>
      <c r="AR116" s="623">
        <v>59030185</v>
      </c>
      <c r="AS116" s="417"/>
      <c r="AT116" s="417">
        <f>+AR116+AS116</f>
        <v>59030185</v>
      </c>
      <c r="AU116" s="715">
        <v>59030185</v>
      </c>
      <c r="AV116" s="715"/>
      <c r="AW116" s="715">
        <f t="shared" si="60"/>
        <v>59030185</v>
      </c>
      <c r="AX116" s="780">
        <v>53211049</v>
      </c>
      <c r="AY116" s="689">
        <f t="shared" si="67"/>
        <v>90.142101028482287</v>
      </c>
      <c r="AZ116" s="690">
        <v>52677104</v>
      </c>
      <c r="BA116" s="689">
        <f t="shared" si="68"/>
        <v>89.237572269170428</v>
      </c>
      <c r="BB116" s="690">
        <v>52677104</v>
      </c>
      <c r="BC116" s="689">
        <f t="shared" si="69"/>
        <v>89.237572269170428</v>
      </c>
      <c r="BD116" s="1031">
        <f>ROUND(AO116*0.02,0)+AO116</f>
        <v>40800000</v>
      </c>
      <c r="BE116" s="1031"/>
      <c r="BF116" s="1031"/>
      <c r="BG116" s="1031">
        <f t="shared" si="61"/>
        <v>40800000</v>
      </c>
      <c r="BH116" s="1031">
        <v>32146500</v>
      </c>
      <c r="BI116" s="1031">
        <f>+BH116/BG116*100</f>
        <v>78.790441176470594</v>
      </c>
      <c r="BJ116" s="1032">
        <v>11085000</v>
      </c>
      <c r="BK116" s="1031">
        <f>+BJ116/BG116*100</f>
        <v>27.169117647058822</v>
      </c>
      <c r="BL116" s="1032">
        <v>11085000</v>
      </c>
      <c r="BM116" s="991">
        <f>+BL116/BG116*100</f>
        <v>27.169117647058822</v>
      </c>
      <c r="BN116" s="991">
        <f>+ROUND(AO116*0.02,0)+AO116</f>
        <v>40800000</v>
      </c>
      <c r="BO116" s="991"/>
      <c r="BP116" s="991"/>
      <c r="BQ116" s="991">
        <f t="shared" si="62"/>
        <v>40800000</v>
      </c>
      <c r="BR116" s="991">
        <f>+ROUND(BN116*0.02,0)+BN116</f>
        <v>41616000</v>
      </c>
      <c r="BS116" s="991"/>
      <c r="BT116" s="991"/>
      <c r="BU116" s="991">
        <f t="shared" si="63"/>
        <v>41616000</v>
      </c>
      <c r="BV116" s="991">
        <f>+ROUND(BR116*0.02,0)+BR116</f>
        <v>42448320</v>
      </c>
      <c r="BW116" s="991"/>
      <c r="BX116" s="991"/>
      <c r="BY116" s="991">
        <f t="shared" si="64"/>
        <v>42448320</v>
      </c>
      <c r="BZ116" s="993">
        <f>+AW116+BG116+BU116+BY116</f>
        <v>183894505</v>
      </c>
      <c r="CA116" s="994">
        <f>+BH116+AX116</f>
        <v>85357549</v>
      </c>
      <c r="CB116" s="992">
        <f t="shared" si="70"/>
        <v>46.416584878379048</v>
      </c>
      <c r="CC116" s="695" t="s">
        <v>900</v>
      </c>
      <c r="CD116" s="689"/>
      <c r="CE116" s="543"/>
      <c r="CF116" s="543"/>
      <c r="CG116" s="544"/>
      <c r="CH116" s="86"/>
      <c r="CI116" s="86"/>
      <c r="CJ116" s="86"/>
      <c r="CL116" s="197"/>
      <c r="CX116" s="911">
        <f t="shared" si="24"/>
        <v>0</v>
      </c>
      <c r="CY116" s="1010"/>
      <c r="DA116" s="1109"/>
    </row>
    <row r="117" spans="1:107" s="68" customFormat="1" ht="202.5" x14ac:dyDescent="0.2">
      <c r="A117" s="23" t="s">
        <v>113</v>
      </c>
      <c r="C117" s="539"/>
      <c r="D117" s="539"/>
      <c r="E117" s="524"/>
      <c r="F117" s="539"/>
      <c r="G117" s="539"/>
      <c r="H117" s="539"/>
      <c r="I117" s="539"/>
      <c r="J117" s="624"/>
      <c r="K117" s="1562"/>
      <c r="L117" s="546"/>
      <c r="M117" s="546"/>
      <c r="N117" s="546"/>
      <c r="O117" s="546"/>
      <c r="P117" s="625" t="s">
        <v>712</v>
      </c>
      <c r="Q117" s="621">
        <v>15</v>
      </c>
      <c r="R117" s="621">
        <v>15</v>
      </c>
      <c r="S117" s="621">
        <v>15</v>
      </c>
      <c r="T117" s="621">
        <v>15</v>
      </c>
      <c r="U117" s="16" t="s">
        <v>486</v>
      </c>
      <c r="V117" s="1155" t="s">
        <v>137</v>
      </c>
      <c r="W117" s="223">
        <v>72</v>
      </c>
      <c r="X117" s="223">
        <v>94</v>
      </c>
      <c r="Y117" s="1113">
        <v>15</v>
      </c>
      <c r="Z117" s="1121" t="s">
        <v>1127</v>
      </c>
      <c r="AA117" s="1302">
        <f>+Y117</f>
        <v>15</v>
      </c>
      <c r="AB117" s="223">
        <v>72</v>
      </c>
      <c r="AC117" s="223">
        <v>56</v>
      </c>
      <c r="AD117" s="223">
        <f>(((AC117/AB117*100)*AM117)/100)</f>
        <v>11.666666666666668</v>
      </c>
      <c r="AE117" s="1121" t="s">
        <v>1296</v>
      </c>
      <c r="AF117" s="1314">
        <v>77.78</v>
      </c>
      <c r="AG117" s="223">
        <v>72</v>
      </c>
      <c r="AH117" s="223">
        <v>72</v>
      </c>
      <c r="AI117" s="425">
        <f>+AH117+AG117+AB117+W117</f>
        <v>288</v>
      </c>
      <c r="AJ117" s="1136">
        <f>+X117+AC117</f>
        <v>150</v>
      </c>
      <c r="AK117" s="424">
        <f>+AJ117/AI117*100</f>
        <v>52.083333333333336</v>
      </c>
      <c r="AL117" s="1310">
        <v>15</v>
      </c>
      <c r="AM117" s="1310">
        <v>15</v>
      </c>
      <c r="AN117" s="622"/>
      <c r="AO117" s="197">
        <v>50000000</v>
      </c>
      <c r="AP117" s="197"/>
      <c r="AQ117" s="197">
        <f t="shared" si="59"/>
        <v>50000000</v>
      </c>
      <c r="AR117" s="623">
        <f>132983604+800000000</f>
        <v>932983604</v>
      </c>
      <c r="AS117" s="417"/>
      <c r="AT117" s="417">
        <f>+AS117+AR117</f>
        <v>932983604</v>
      </c>
      <c r="AU117" s="713">
        <f>132983604+800000000</f>
        <v>932983604</v>
      </c>
      <c r="AV117" s="715"/>
      <c r="AW117" s="715">
        <f t="shared" si="60"/>
        <v>932983604</v>
      </c>
      <c r="AX117" s="780">
        <f>703078341+47241359</f>
        <v>750319700</v>
      </c>
      <c r="AY117" s="689">
        <f t="shared" si="67"/>
        <v>80.421531180520077</v>
      </c>
      <c r="AZ117" s="690">
        <f>672226961+38540890</f>
        <v>710767851</v>
      </c>
      <c r="BA117" s="689">
        <f t="shared" si="68"/>
        <v>76.182244570291502</v>
      </c>
      <c r="BB117" s="691">
        <f>672226961+38540890</f>
        <v>710767851</v>
      </c>
      <c r="BC117" s="689">
        <f t="shared" si="69"/>
        <v>76.182244570291502</v>
      </c>
      <c r="BD117" s="1031">
        <f>+ROUND(AO117*0.02,0)+AO117</f>
        <v>51000000</v>
      </c>
      <c r="BE117" s="1031"/>
      <c r="BF117" s="1031">
        <v>796921659</v>
      </c>
      <c r="BG117" s="1031">
        <f t="shared" si="61"/>
        <v>847921659</v>
      </c>
      <c r="BH117" s="1031">
        <v>27854000</v>
      </c>
      <c r="BI117" s="1031">
        <f>+BH117/BG117*100</f>
        <v>3.284973287844744</v>
      </c>
      <c r="BJ117" s="1076">
        <v>13231000</v>
      </c>
      <c r="BK117" s="1031">
        <f>+BJ117/BG117*100</f>
        <v>1.5604035891244994</v>
      </c>
      <c r="BL117" s="1076">
        <v>13231000</v>
      </c>
      <c r="BM117" s="991">
        <f>+BL117/BG117*100</f>
        <v>1.5604035891244994</v>
      </c>
      <c r="BN117" s="991">
        <f>+ROUND(AO117*0.02,0)+AO117</f>
        <v>51000000</v>
      </c>
      <c r="BO117" s="991"/>
      <c r="BP117" s="991"/>
      <c r="BQ117" s="991">
        <f t="shared" si="62"/>
        <v>51000000</v>
      </c>
      <c r="BR117" s="991">
        <f>+ROUND(BN117*0.02,0)+BN117</f>
        <v>52020000</v>
      </c>
      <c r="BS117" s="991"/>
      <c r="BT117" s="991"/>
      <c r="BU117" s="991">
        <f t="shared" si="63"/>
        <v>52020000</v>
      </c>
      <c r="BV117" s="991">
        <f>+ROUND(BR117*0.02,0)+BR117</f>
        <v>53060400</v>
      </c>
      <c r="BW117" s="991"/>
      <c r="BX117" s="991"/>
      <c r="BY117" s="991">
        <f t="shared" si="64"/>
        <v>53060400</v>
      </c>
      <c r="BZ117" s="993">
        <f>+AW117+BG117+BU117+BY117</f>
        <v>1885985663</v>
      </c>
      <c r="CA117" s="994">
        <f>+BH117+AX117</f>
        <v>778173700</v>
      </c>
      <c r="CB117" s="992">
        <f t="shared" si="70"/>
        <v>41.260849181757543</v>
      </c>
      <c r="CC117" s="695" t="s">
        <v>901</v>
      </c>
      <c r="CD117" s="1038" t="s">
        <v>1173</v>
      </c>
      <c r="CE117" s="543"/>
      <c r="CF117" s="543"/>
      <c r="CG117" s="544"/>
      <c r="CH117" s="86"/>
      <c r="CI117" s="86"/>
      <c r="CJ117" s="86"/>
      <c r="CL117" s="197"/>
      <c r="CX117" s="911">
        <f t="shared" si="24"/>
        <v>0</v>
      </c>
      <c r="CY117" s="1048"/>
      <c r="CZ117" s="1019"/>
      <c r="DA117" s="1117"/>
      <c r="DC117" s="67"/>
    </row>
    <row r="118" spans="1:107" s="68" customFormat="1" ht="20.25" hidden="1" customHeight="1" x14ac:dyDescent="0.2">
      <c r="A118" s="23" t="s">
        <v>114</v>
      </c>
      <c r="C118" s="525"/>
      <c r="D118" s="525"/>
      <c r="E118" s="524"/>
      <c r="F118" s="525"/>
      <c r="G118" s="525"/>
      <c r="H118" s="525"/>
      <c r="I118" s="525"/>
      <c r="J118" s="626"/>
      <c r="K118" s="1562"/>
      <c r="L118" s="520"/>
      <c r="M118" s="520"/>
      <c r="N118" s="520"/>
      <c r="O118" s="520"/>
      <c r="P118" s="1591" t="s">
        <v>114</v>
      </c>
      <c r="Q118" s="1442">
        <v>40</v>
      </c>
      <c r="R118" s="1442">
        <v>40</v>
      </c>
      <c r="S118" s="1442">
        <v>40</v>
      </c>
      <c r="T118" s="1442">
        <v>40</v>
      </c>
      <c r="U118" s="507"/>
      <c r="V118" s="508"/>
      <c r="W118" s="425"/>
      <c r="X118" s="425"/>
      <c r="Y118" s="1302" t="e">
        <f>+X118/W118*100</f>
        <v>#DIV/0!</v>
      </c>
      <c r="Z118" s="506"/>
      <c r="AA118" s="1156"/>
      <c r="AB118" s="425"/>
      <c r="AC118" s="425"/>
      <c r="AD118" s="223" t="e">
        <f>(((AC118/AB118*100)*AM118)/100)</f>
        <v>#DIV/0!</v>
      </c>
      <c r="AE118" s="509"/>
      <c r="AF118" s="425"/>
      <c r="AG118" s="425"/>
      <c r="AH118" s="425"/>
      <c r="AI118" s="425"/>
      <c r="AJ118" s="1156"/>
      <c r="AK118" s="424" t="e">
        <f>+AJ118/AI118*100</f>
        <v>#DIV/0!</v>
      </c>
      <c r="AL118" s="1310"/>
      <c r="AM118" s="1310"/>
      <c r="AN118" s="509"/>
      <c r="AO118" s="197">
        <f>SUM(AO119:AO126)</f>
        <v>307500000</v>
      </c>
      <c r="AP118" s="197">
        <f>SUM(AP119:AP126)</f>
        <v>0</v>
      </c>
      <c r="AQ118" s="197">
        <f t="shared" si="59"/>
        <v>307500000</v>
      </c>
      <c r="AR118" s="582"/>
      <c r="AS118" s="417"/>
      <c r="AT118" s="417"/>
      <c r="AU118" s="715">
        <f>SUM(AU119:AU126)</f>
        <v>557046744</v>
      </c>
      <c r="AV118" s="715">
        <f>SUM(AV119:AV126)</f>
        <v>0</v>
      </c>
      <c r="AW118" s="715">
        <f t="shared" si="60"/>
        <v>557046744</v>
      </c>
      <c r="AX118" s="776"/>
      <c r="AY118" s="675">
        <f t="shared" si="67"/>
        <v>0</v>
      </c>
      <c r="AZ118" s="678"/>
      <c r="BA118" s="675">
        <f t="shared" si="68"/>
        <v>0</v>
      </c>
      <c r="BB118" s="678"/>
      <c r="BC118" s="675">
        <f t="shared" si="69"/>
        <v>0</v>
      </c>
      <c r="BD118" s="1025">
        <f>SUM(BD119:BD126)</f>
        <v>331439386</v>
      </c>
      <c r="BE118" s="1025">
        <f>SUM(BE119:BE126)</f>
        <v>0</v>
      </c>
      <c r="BF118" s="1025">
        <f>SUM(BF119:BF126)</f>
        <v>0</v>
      </c>
      <c r="BG118" s="1025">
        <f t="shared" si="61"/>
        <v>331439386</v>
      </c>
      <c r="BH118" s="995"/>
      <c r="BI118" s="995"/>
      <c r="BJ118" s="996"/>
      <c r="BK118" s="995"/>
      <c r="BL118" s="996"/>
      <c r="BM118" s="995"/>
      <c r="BN118" s="991">
        <f>SUM(BN119:BN126)</f>
        <v>266000000</v>
      </c>
      <c r="BO118" s="991">
        <f>SUM(BO119:BO126)</f>
        <v>0</v>
      </c>
      <c r="BP118" s="991">
        <f>SUM(BP119:BP126)</f>
        <v>0</v>
      </c>
      <c r="BQ118" s="991">
        <f t="shared" si="62"/>
        <v>266000000</v>
      </c>
      <c r="BR118" s="991">
        <f>SUM(BR119:BR126)</f>
        <v>266000000</v>
      </c>
      <c r="BS118" s="991">
        <f>SUM(BS119:BS126)</f>
        <v>0</v>
      </c>
      <c r="BT118" s="991">
        <f>SUM(BT119:BT126)</f>
        <v>0</v>
      </c>
      <c r="BU118" s="991">
        <f t="shared" si="63"/>
        <v>266000000</v>
      </c>
      <c r="BV118" s="991">
        <f>SUM(BV119:BV126)</f>
        <v>266000000</v>
      </c>
      <c r="BW118" s="991">
        <f>SUM(BW119:BW126)</f>
        <v>0</v>
      </c>
      <c r="BX118" s="991">
        <f>SUM(BX119:BX126)</f>
        <v>0</v>
      </c>
      <c r="BY118" s="991">
        <f t="shared" si="64"/>
        <v>266000000</v>
      </c>
      <c r="BZ118" s="993">
        <f>+AW118+BG118+BU118+BY118</f>
        <v>1420486130</v>
      </c>
      <c r="CA118" s="977"/>
      <c r="CB118" s="996">
        <f t="shared" si="70"/>
        <v>0</v>
      </c>
      <c r="CC118" s="702"/>
      <c r="CD118" s="675"/>
      <c r="CE118" s="543"/>
      <c r="CF118" s="528"/>
      <c r="CG118" s="529"/>
      <c r="CH118" s="64"/>
      <c r="CI118" s="64"/>
      <c r="CJ118" s="64"/>
      <c r="CL118" s="197"/>
      <c r="CX118" s="911">
        <f t="shared" si="24"/>
        <v>65439386</v>
      </c>
      <c r="CY118" s="1010"/>
      <c r="DA118" s="1068"/>
    </row>
    <row r="119" spans="1:107" s="68" customFormat="1" ht="90" x14ac:dyDescent="0.2">
      <c r="A119" s="16" t="s">
        <v>115</v>
      </c>
      <c r="C119" s="525"/>
      <c r="D119" s="525"/>
      <c r="E119" s="524"/>
      <c r="F119" s="525"/>
      <c r="G119" s="525"/>
      <c r="H119" s="525"/>
      <c r="I119" s="525"/>
      <c r="J119" s="626"/>
      <c r="K119" s="1562"/>
      <c r="L119" s="520"/>
      <c r="M119" s="520"/>
      <c r="N119" s="520"/>
      <c r="O119" s="520"/>
      <c r="P119" s="1592"/>
      <c r="Q119" s="1443"/>
      <c r="R119" s="1443"/>
      <c r="S119" s="1443"/>
      <c r="T119" s="1443"/>
      <c r="U119" s="18" t="s">
        <v>792</v>
      </c>
      <c r="V119" s="1155" t="s">
        <v>137</v>
      </c>
      <c r="W119" s="223">
        <v>1</v>
      </c>
      <c r="X119" s="223">
        <v>0</v>
      </c>
      <c r="Y119" s="1113">
        <f>(((X119/W119*100)*AL119)/100)</f>
        <v>0</v>
      </c>
      <c r="Z119" s="1121" t="s">
        <v>1076</v>
      </c>
      <c r="AA119" s="1302">
        <f>+Y119</f>
        <v>0</v>
      </c>
      <c r="AB119" s="223">
        <v>1</v>
      </c>
      <c r="AC119" s="223">
        <v>0</v>
      </c>
      <c r="AD119" s="223">
        <f>(((AC119/AB119*100)*AM119)/100)</f>
        <v>0</v>
      </c>
      <c r="AE119" s="1121" t="s">
        <v>1298</v>
      </c>
      <c r="AF119" s="223">
        <v>0</v>
      </c>
      <c r="AG119" s="223">
        <v>1</v>
      </c>
      <c r="AH119" s="223">
        <v>1</v>
      </c>
      <c r="AI119" s="425">
        <f>+AH119+AG119+AB119+W119</f>
        <v>4</v>
      </c>
      <c r="AJ119" s="1136">
        <f t="shared" ref="AJ119:AJ125" si="71">+X119+AC119</f>
        <v>0</v>
      </c>
      <c r="AK119" s="424">
        <f>+AJ119/AI119*100</f>
        <v>0</v>
      </c>
      <c r="AL119" s="1410">
        <v>40</v>
      </c>
      <c r="AM119" s="1410">
        <v>40</v>
      </c>
      <c r="AN119" s="509"/>
      <c r="AO119" s="742">
        <v>150000000</v>
      </c>
      <c r="AP119" s="742"/>
      <c r="AQ119" s="742">
        <f t="shared" si="59"/>
        <v>150000000</v>
      </c>
      <c r="AR119" s="1426">
        <v>557046744</v>
      </c>
      <c r="AS119" s="1426"/>
      <c r="AT119" s="1426">
        <f>+AR119+AS119</f>
        <v>557046744</v>
      </c>
      <c r="AU119" s="1419">
        <v>557046744</v>
      </c>
      <c r="AV119" s="1419"/>
      <c r="AW119" s="1419">
        <f>+AU119+AV119</f>
        <v>557046744</v>
      </c>
      <c r="AX119" s="1413">
        <v>236965073</v>
      </c>
      <c r="AY119" s="1407">
        <f t="shared" si="67"/>
        <v>42.539531116979298</v>
      </c>
      <c r="AZ119" s="1404">
        <v>213320763</v>
      </c>
      <c r="BA119" s="1407">
        <f t="shared" si="68"/>
        <v>38.294948367923681</v>
      </c>
      <c r="BB119" s="1404">
        <v>213320763</v>
      </c>
      <c r="BC119" s="1407">
        <f t="shared" si="69"/>
        <v>38.294948367923681</v>
      </c>
      <c r="BD119" s="1393">
        <v>331439386</v>
      </c>
      <c r="BE119" s="1393"/>
      <c r="BF119" s="1393"/>
      <c r="BG119" s="1393">
        <f>SUM(BD119:BF126)</f>
        <v>331439386</v>
      </c>
      <c r="BH119" s="1393">
        <v>153018552</v>
      </c>
      <c r="BI119" s="1393">
        <f>+BH119/(SUM(BG119:BG126)*100)</f>
        <v>4.6167884223632973E-3</v>
      </c>
      <c r="BJ119" s="1393">
        <v>52531430</v>
      </c>
      <c r="BK119" s="1393">
        <f>+BJ119/(SUM(BG119:BG126)*100)</f>
        <v>1.584948325966305E-3</v>
      </c>
      <c r="BL119" s="1393">
        <v>52531430</v>
      </c>
      <c r="BM119" s="1393">
        <f>+BL119/(SUM(BG119:BG126)*100)</f>
        <v>1.584948325966305E-3</v>
      </c>
      <c r="BN119" s="964">
        <v>50000000</v>
      </c>
      <c r="BO119" s="964"/>
      <c r="BP119" s="964"/>
      <c r="BQ119" s="964">
        <f t="shared" si="62"/>
        <v>50000000</v>
      </c>
      <c r="BR119" s="964">
        <v>50000000</v>
      </c>
      <c r="BS119" s="964"/>
      <c r="BT119" s="964"/>
      <c r="BU119" s="964">
        <f>SUM(BR119:BT119)</f>
        <v>50000000</v>
      </c>
      <c r="BV119" s="964">
        <v>50000000</v>
      </c>
      <c r="BW119" s="964"/>
      <c r="BX119" s="964"/>
      <c r="BY119" s="964">
        <f t="shared" si="64"/>
        <v>50000000</v>
      </c>
      <c r="BZ119" s="967">
        <f>100000000+BG119+BU119+BY119+AQ119</f>
        <v>681439386</v>
      </c>
      <c r="CA119" s="1401">
        <f>+BH119+AX119</f>
        <v>389983625</v>
      </c>
      <c r="CB119" s="1434">
        <f>+CA119/(SUM(BZ119:BZ126))*100</f>
        <v>27.454236740769865</v>
      </c>
      <c r="CC119" s="1436" t="s">
        <v>902</v>
      </c>
      <c r="CD119" s="1740" t="s">
        <v>1174</v>
      </c>
      <c r="CE119" s="528"/>
      <c r="CF119" s="528"/>
      <c r="CG119" s="529"/>
      <c r="CH119" s="64"/>
      <c r="CI119" s="64"/>
      <c r="CJ119" s="64"/>
      <c r="CL119" s="517"/>
      <c r="CX119" s="911">
        <f t="shared" si="24"/>
        <v>281439386</v>
      </c>
      <c r="CY119" s="1046"/>
      <c r="CZ119" s="1047"/>
      <c r="DA119" s="1117"/>
    </row>
    <row r="120" spans="1:107" s="68" customFormat="1" ht="101.25" x14ac:dyDescent="0.2">
      <c r="A120" s="16" t="s">
        <v>116</v>
      </c>
      <c r="C120" s="525"/>
      <c r="D120" s="525"/>
      <c r="E120" s="524"/>
      <c r="F120" s="525"/>
      <c r="G120" s="525"/>
      <c r="H120" s="525"/>
      <c r="I120" s="525"/>
      <c r="J120" s="626"/>
      <c r="K120" s="1562"/>
      <c r="L120" s="520"/>
      <c r="M120" s="520"/>
      <c r="N120" s="520"/>
      <c r="O120" s="520"/>
      <c r="P120" s="1592"/>
      <c r="Q120" s="1443"/>
      <c r="R120" s="1443"/>
      <c r="S120" s="1443"/>
      <c r="T120" s="1443"/>
      <c r="U120" s="16" t="s">
        <v>790</v>
      </c>
      <c r="V120" s="1155" t="s">
        <v>137</v>
      </c>
      <c r="W120" s="223">
        <v>150</v>
      </c>
      <c r="X120" s="223">
        <v>150</v>
      </c>
      <c r="Y120" s="1113">
        <f>(((X120/W120*100)*AL119)/100)</f>
        <v>40</v>
      </c>
      <c r="Z120" s="1121" t="s">
        <v>1077</v>
      </c>
      <c r="AA120" s="1302">
        <f>+Y120</f>
        <v>40</v>
      </c>
      <c r="AB120" s="223">
        <v>150</v>
      </c>
      <c r="AC120" s="223">
        <v>57</v>
      </c>
      <c r="AD120" s="223">
        <f>(((AC120/AB120*100)*AM119)/100)</f>
        <v>15.2</v>
      </c>
      <c r="AE120" s="1121" t="s">
        <v>1299</v>
      </c>
      <c r="AF120" s="223">
        <v>38</v>
      </c>
      <c r="AG120" s="223">
        <v>150</v>
      </c>
      <c r="AH120" s="223">
        <v>150</v>
      </c>
      <c r="AI120" s="425">
        <f>+AH120+AG120+AB120+W120</f>
        <v>600</v>
      </c>
      <c r="AJ120" s="1136">
        <f t="shared" si="71"/>
        <v>207</v>
      </c>
      <c r="AK120" s="424">
        <f>+AJ120/AI120*100</f>
        <v>34.5</v>
      </c>
      <c r="AL120" s="1411"/>
      <c r="AM120" s="1411"/>
      <c r="AN120" s="1589"/>
      <c r="AO120" s="1422">
        <v>67000000</v>
      </c>
      <c r="AP120" s="1422"/>
      <c r="AQ120" s="1422">
        <f t="shared" si="59"/>
        <v>67000000</v>
      </c>
      <c r="AR120" s="1427"/>
      <c r="AS120" s="1427"/>
      <c r="AT120" s="1427"/>
      <c r="AU120" s="1420"/>
      <c r="AV120" s="1420"/>
      <c r="AW120" s="1420"/>
      <c r="AX120" s="1414"/>
      <c r="AY120" s="1424"/>
      <c r="AZ120" s="1405"/>
      <c r="BA120" s="1424"/>
      <c r="BB120" s="1405"/>
      <c r="BC120" s="1424"/>
      <c r="BD120" s="1588"/>
      <c r="BE120" s="1588"/>
      <c r="BF120" s="1588"/>
      <c r="BG120" s="1588">
        <f t="shared" si="61"/>
        <v>0</v>
      </c>
      <c r="BH120" s="1588"/>
      <c r="BI120" s="1588" t="e">
        <f>+BH120/BG120*100</f>
        <v>#DIV/0!</v>
      </c>
      <c r="BJ120" s="1588"/>
      <c r="BK120" s="1588" t="e">
        <f>+BJ120/BG120*100</f>
        <v>#DIV/0!</v>
      </c>
      <c r="BL120" s="1588"/>
      <c r="BM120" s="1588" t="e">
        <f>+BL120/BG120*100</f>
        <v>#DIV/0!</v>
      </c>
      <c r="BN120" s="1388">
        <v>70000000</v>
      </c>
      <c r="BO120" s="1388"/>
      <c r="BP120" s="1388"/>
      <c r="BQ120" s="1388">
        <f t="shared" si="62"/>
        <v>70000000</v>
      </c>
      <c r="BR120" s="1388">
        <v>70000000</v>
      </c>
      <c r="BS120" s="1388"/>
      <c r="BT120" s="1388"/>
      <c r="BU120" s="1388">
        <f t="shared" si="63"/>
        <v>70000000</v>
      </c>
      <c r="BV120" s="1388">
        <v>70000000</v>
      </c>
      <c r="BW120" s="1388"/>
      <c r="BX120" s="1388"/>
      <c r="BY120" s="1388">
        <f t="shared" si="64"/>
        <v>70000000</v>
      </c>
      <c r="BZ120" s="1401">
        <f>100052744+BG120+BU120+BY120+AQ120</f>
        <v>307052744</v>
      </c>
      <c r="CA120" s="1402"/>
      <c r="CB120" s="1435"/>
      <c r="CC120" s="1437"/>
      <c r="CD120" s="1745"/>
      <c r="CE120" s="528"/>
      <c r="CF120" s="528"/>
      <c r="CG120" s="529"/>
      <c r="CH120" s="64"/>
      <c r="CI120" s="64"/>
      <c r="CJ120" s="64"/>
      <c r="CL120" s="523"/>
      <c r="CX120" s="911">
        <f t="shared" si="24"/>
        <v>-70000000</v>
      </c>
      <c r="CY120" s="1010"/>
      <c r="DA120" s="1109"/>
    </row>
    <row r="121" spans="1:107" s="68" customFormat="1" ht="123.75" x14ac:dyDescent="0.2">
      <c r="A121" s="16"/>
      <c r="C121" s="525"/>
      <c r="D121" s="525"/>
      <c r="E121" s="524"/>
      <c r="F121" s="525"/>
      <c r="G121" s="525"/>
      <c r="H121" s="525"/>
      <c r="I121" s="525"/>
      <c r="J121" s="626"/>
      <c r="K121" s="1562"/>
      <c r="L121" s="520"/>
      <c r="M121" s="520"/>
      <c r="N121" s="520"/>
      <c r="O121" s="520"/>
      <c r="P121" s="1592"/>
      <c r="Q121" s="1443"/>
      <c r="R121" s="1443"/>
      <c r="S121" s="1443"/>
      <c r="T121" s="1443"/>
      <c r="U121" s="750" t="s">
        <v>795</v>
      </c>
      <c r="V121" s="627" t="s">
        <v>697</v>
      </c>
      <c r="W121" s="628">
        <v>90</v>
      </c>
      <c r="X121" s="628">
        <v>91.6</v>
      </c>
      <c r="Y121" s="1113">
        <v>0</v>
      </c>
      <c r="Z121" s="1121" t="s">
        <v>1128</v>
      </c>
      <c r="AA121" s="1346">
        <v>50</v>
      </c>
      <c r="AB121" s="628">
        <v>90</v>
      </c>
      <c r="AC121" s="628">
        <v>87.8</v>
      </c>
      <c r="AD121" s="223">
        <v>20</v>
      </c>
      <c r="AE121" s="628" t="s">
        <v>1300</v>
      </c>
      <c r="AF121" s="628">
        <v>50</v>
      </c>
      <c r="AG121" s="628">
        <v>90</v>
      </c>
      <c r="AH121" s="628">
        <v>90</v>
      </c>
      <c r="AI121" s="628">
        <v>90</v>
      </c>
      <c r="AJ121" s="1136">
        <f>+(X121+AC121)/2</f>
        <v>89.699999999999989</v>
      </c>
      <c r="AK121" s="424">
        <f>25+12.5</f>
        <v>37.5</v>
      </c>
      <c r="AL121" s="1411"/>
      <c r="AM121" s="1411"/>
      <c r="AN121" s="1590"/>
      <c r="AO121" s="1423"/>
      <c r="AP121" s="1423"/>
      <c r="AQ121" s="1423"/>
      <c r="AR121" s="1427"/>
      <c r="AS121" s="1427"/>
      <c r="AT121" s="1427"/>
      <c r="AU121" s="1420"/>
      <c r="AV121" s="1420"/>
      <c r="AW121" s="1420"/>
      <c r="AX121" s="1414"/>
      <c r="AY121" s="1424"/>
      <c r="AZ121" s="1405"/>
      <c r="BA121" s="1424"/>
      <c r="BB121" s="1405"/>
      <c r="BC121" s="1424"/>
      <c r="BD121" s="1588"/>
      <c r="BE121" s="1588"/>
      <c r="BF121" s="1588"/>
      <c r="BG121" s="1588"/>
      <c r="BH121" s="1588"/>
      <c r="BI121" s="1588"/>
      <c r="BJ121" s="1588"/>
      <c r="BK121" s="1588"/>
      <c r="BL121" s="1588"/>
      <c r="BM121" s="1588"/>
      <c r="BN121" s="1390"/>
      <c r="BO121" s="1390"/>
      <c r="BP121" s="1390"/>
      <c r="BQ121" s="1390"/>
      <c r="BR121" s="1390"/>
      <c r="BS121" s="1390"/>
      <c r="BT121" s="1390"/>
      <c r="BU121" s="1390"/>
      <c r="BV121" s="1390"/>
      <c r="BW121" s="1390"/>
      <c r="BX121" s="1390"/>
      <c r="BY121" s="1390"/>
      <c r="BZ121" s="1403"/>
      <c r="CA121" s="1402"/>
      <c r="CB121" s="1435"/>
      <c r="CC121" s="1437"/>
      <c r="CD121" s="1745"/>
      <c r="CE121" s="528"/>
      <c r="CF121" s="528"/>
      <c r="CG121" s="529"/>
      <c r="CH121" s="64"/>
      <c r="CI121" s="64"/>
      <c r="CJ121" s="64"/>
      <c r="CL121" s="523"/>
      <c r="CX121" s="911">
        <f t="shared" si="24"/>
        <v>0</v>
      </c>
      <c r="CY121" s="1010"/>
      <c r="DA121" s="1109"/>
    </row>
    <row r="122" spans="1:107" s="68" customFormat="1" ht="112.5" x14ac:dyDescent="0.2">
      <c r="A122" s="16" t="s">
        <v>117</v>
      </c>
      <c r="C122" s="525"/>
      <c r="D122" s="525"/>
      <c r="E122" s="524"/>
      <c r="F122" s="525"/>
      <c r="G122" s="525"/>
      <c r="H122" s="525"/>
      <c r="I122" s="525"/>
      <c r="J122" s="626"/>
      <c r="K122" s="1562"/>
      <c r="L122" s="520"/>
      <c r="M122" s="520"/>
      <c r="N122" s="520"/>
      <c r="O122" s="520"/>
      <c r="P122" s="1592"/>
      <c r="Q122" s="1443"/>
      <c r="R122" s="1443"/>
      <c r="S122" s="1443"/>
      <c r="T122" s="1443"/>
      <c r="U122" s="754" t="s">
        <v>793</v>
      </c>
      <c r="V122" s="1155" t="s">
        <v>137</v>
      </c>
      <c r="W122" s="223">
        <v>200</v>
      </c>
      <c r="X122" s="223">
        <v>200</v>
      </c>
      <c r="Y122" s="1113">
        <v>40</v>
      </c>
      <c r="Z122" s="1121" t="s">
        <v>1078</v>
      </c>
      <c r="AA122" s="1302">
        <f>+Y122</f>
        <v>40</v>
      </c>
      <c r="AB122" s="223">
        <v>200</v>
      </c>
      <c r="AC122" s="223">
        <v>41</v>
      </c>
      <c r="AD122" s="223">
        <f>(((AC122/AB122*100)*AM119)/100)</f>
        <v>8.1999999999999993</v>
      </c>
      <c r="AE122" s="1121" t="s">
        <v>1301</v>
      </c>
      <c r="AF122" s="223">
        <v>20.5</v>
      </c>
      <c r="AG122" s="223">
        <v>200</v>
      </c>
      <c r="AH122" s="223">
        <v>200</v>
      </c>
      <c r="AI122" s="425">
        <f>+AH122+AG122+AB122+W122</f>
        <v>800</v>
      </c>
      <c r="AJ122" s="1136">
        <f t="shared" si="71"/>
        <v>241</v>
      </c>
      <c r="AK122" s="424">
        <f>+AJ122/AI122*100</f>
        <v>30.125</v>
      </c>
      <c r="AL122" s="1411"/>
      <c r="AM122" s="1411"/>
      <c r="AN122" s="554"/>
      <c r="AO122" s="742">
        <v>25000000</v>
      </c>
      <c r="AP122" s="742"/>
      <c r="AQ122" s="742">
        <f>SUM(AO122:AP122)</f>
        <v>25000000</v>
      </c>
      <c r="AR122" s="1427"/>
      <c r="AS122" s="1427"/>
      <c r="AT122" s="1427"/>
      <c r="AU122" s="1420"/>
      <c r="AV122" s="1420"/>
      <c r="AW122" s="1420"/>
      <c r="AX122" s="1414"/>
      <c r="AY122" s="1424"/>
      <c r="AZ122" s="1405"/>
      <c r="BA122" s="1424"/>
      <c r="BB122" s="1405"/>
      <c r="BC122" s="1424"/>
      <c r="BD122" s="1588"/>
      <c r="BE122" s="1588"/>
      <c r="BF122" s="1588"/>
      <c r="BG122" s="1588">
        <f>SUM(BD122:BF122)</f>
        <v>0</v>
      </c>
      <c r="BH122" s="1588"/>
      <c r="BI122" s="1588" t="e">
        <f>+BH122/BG122*100</f>
        <v>#DIV/0!</v>
      </c>
      <c r="BJ122" s="1588"/>
      <c r="BK122" s="1588" t="e">
        <f>+BJ122/BG122*100</f>
        <v>#DIV/0!</v>
      </c>
      <c r="BL122" s="1588"/>
      <c r="BM122" s="1588" t="e">
        <f>+BL122/BG122*100</f>
        <v>#DIV/0!</v>
      </c>
      <c r="BN122" s="964">
        <v>55000000</v>
      </c>
      <c r="BO122" s="964"/>
      <c r="BP122" s="964"/>
      <c r="BQ122" s="964">
        <f>SUM(BN122:BP122)</f>
        <v>55000000</v>
      </c>
      <c r="BR122" s="964">
        <v>55000000</v>
      </c>
      <c r="BS122" s="964"/>
      <c r="BT122" s="964"/>
      <c r="BU122" s="964">
        <f>SUM(BR122:BT122)</f>
        <v>55000000</v>
      </c>
      <c r="BV122" s="964">
        <v>55000000</v>
      </c>
      <c r="BW122" s="964"/>
      <c r="BX122" s="964"/>
      <c r="BY122" s="964">
        <f>SUM(BV122:BX122)</f>
        <v>55000000</v>
      </c>
      <c r="BZ122" s="967">
        <f>+BG122+BU122+BY122+AQ122</f>
        <v>135000000</v>
      </c>
      <c r="CA122" s="1402"/>
      <c r="CB122" s="1435"/>
      <c r="CC122" s="1437"/>
      <c r="CD122" s="1745"/>
      <c r="CE122" s="528"/>
      <c r="CF122" s="528"/>
      <c r="CG122" s="529"/>
      <c r="CH122" s="64"/>
      <c r="CI122" s="64"/>
      <c r="CJ122" s="64"/>
      <c r="CL122" s="522"/>
      <c r="CX122" s="911">
        <f t="shared" si="24"/>
        <v>-55000000</v>
      </c>
      <c r="CZ122" s="1065"/>
      <c r="DA122" s="1137"/>
      <c r="DB122" s="1062"/>
    </row>
    <row r="123" spans="1:107" s="68" customFormat="1" ht="101.25" x14ac:dyDescent="0.2">
      <c r="A123" s="16" t="s">
        <v>118</v>
      </c>
      <c r="C123" s="525"/>
      <c r="D123" s="525"/>
      <c r="E123" s="524"/>
      <c r="F123" s="525"/>
      <c r="G123" s="525"/>
      <c r="H123" s="525"/>
      <c r="I123" s="525"/>
      <c r="J123" s="626"/>
      <c r="K123" s="1562"/>
      <c r="L123" s="520"/>
      <c r="M123" s="520"/>
      <c r="N123" s="520"/>
      <c r="O123" s="520"/>
      <c r="P123" s="1592"/>
      <c r="Q123" s="1443"/>
      <c r="R123" s="1443"/>
      <c r="S123" s="1443"/>
      <c r="T123" s="1443"/>
      <c r="U123" s="18" t="s">
        <v>791</v>
      </c>
      <c r="V123" s="1155" t="s">
        <v>137</v>
      </c>
      <c r="W123" s="223">
        <v>350</v>
      </c>
      <c r="X123" s="223">
        <v>490</v>
      </c>
      <c r="Y123" s="1113">
        <v>40</v>
      </c>
      <c r="Z123" s="1121" t="s">
        <v>1079</v>
      </c>
      <c r="AA123" s="1302">
        <f>+Y123</f>
        <v>40</v>
      </c>
      <c r="AB123" s="223">
        <v>350</v>
      </c>
      <c r="AC123" s="223">
        <v>170</v>
      </c>
      <c r="AD123" s="223">
        <f>(((AC123/AB123*100)*AM119)/100)</f>
        <v>19.428571428571427</v>
      </c>
      <c r="AE123" s="1121" t="s">
        <v>1355</v>
      </c>
      <c r="AF123" s="223">
        <v>48.57</v>
      </c>
      <c r="AG123" s="223">
        <v>350</v>
      </c>
      <c r="AH123" s="223">
        <v>350</v>
      </c>
      <c r="AI123" s="425">
        <f>+AH123+AG123+AB123+W123</f>
        <v>1400</v>
      </c>
      <c r="AJ123" s="1136">
        <f t="shared" si="71"/>
        <v>660</v>
      </c>
      <c r="AK123" s="424">
        <f>+AJ123/AI123*100</f>
        <v>47.142857142857139</v>
      </c>
      <c r="AL123" s="1411"/>
      <c r="AM123" s="1411"/>
      <c r="AN123" s="554"/>
      <c r="AO123" s="742">
        <v>52000000</v>
      </c>
      <c r="AP123" s="742"/>
      <c r="AQ123" s="742">
        <f>SUM(AO123:AP123)</f>
        <v>52000000</v>
      </c>
      <c r="AR123" s="1427"/>
      <c r="AS123" s="1427"/>
      <c r="AT123" s="1427"/>
      <c r="AU123" s="1420"/>
      <c r="AV123" s="1420"/>
      <c r="AW123" s="1420"/>
      <c r="AX123" s="1414"/>
      <c r="AY123" s="1424"/>
      <c r="AZ123" s="1405"/>
      <c r="BA123" s="1424"/>
      <c r="BB123" s="1405"/>
      <c r="BC123" s="1424"/>
      <c r="BD123" s="1588"/>
      <c r="BE123" s="1588"/>
      <c r="BF123" s="1588"/>
      <c r="BG123" s="1588">
        <f>SUM(BD123:BF123)</f>
        <v>0</v>
      </c>
      <c r="BH123" s="1588"/>
      <c r="BI123" s="1588" t="e">
        <f>+BH123/BG123*100</f>
        <v>#DIV/0!</v>
      </c>
      <c r="BJ123" s="1588"/>
      <c r="BK123" s="1588" t="e">
        <f>+BJ123/BG123*100</f>
        <v>#DIV/0!</v>
      </c>
      <c r="BL123" s="1588"/>
      <c r="BM123" s="1588" t="e">
        <f>+BL123/BG123*100</f>
        <v>#DIV/0!</v>
      </c>
      <c r="BN123" s="964">
        <v>60000000</v>
      </c>
      <c r="BO123" s="964"/>
      <c r="BP123" s="964"/>
      <c r="BQ123" s="964">
        <f>SUM(BN123:BP123)</f>
        <v>60000000</v>
      </c>
      <c r="BR123" s="964">
        <v>60000000</v>
      </c>
      <c r="BS123" s="964"/>
      <c r="BT123" s="964"/>
      <c r="BU123" s="964">
        <f>SUM(BR123:BT123)</f>
        <v>60000000</v>
      </c>
      <c r="BV123" s="964">
        <v>60000000</v>
      </c>
      <c r="BW123" s="964"/>
      <c r="BX123" s="964"/>
      <c r="BY123" s="964">
        <f>SUM(BV123:BX123)</f>
        <v>60000000</v>
      </c>
      <c r="BZ123" s="967">
        <f>45000000+BG123+BU123+BY123+AQ123</f>
        <v>217000000</v>
      </c>
      <c r="CA123" s="1402"/>
      <c r="CB123" s="1435"/>
      <c r="CC123" s="1437"/>
      <c r="CD123" s="1745"/>
      <c r="CE123" s="528"/>
      <c r="CF123" s="528"/>
      <c r="CG123" s="529"/>
      <c r="CH123" s="64"/>
      <c r="CI123" s="64"/>
      <c r="CJ123" s="64"/>
      <c r="CL123" s="522"/>
      <c r="CX123" s="911">
        <f t="shared" si="24"/>
        <v>-60000000</v>
      </c>
      <c r="CY123" s="1010"/>
      <c r="DA123" s="1109"/>
    </row>
    <row r="124" spans="1:107" s="68" customFormat="1" ht="112.5" x14ac:dyDescent="0.2">
      <c r="A124" s="16" t="s">
        <v>119</v>
      </c>
      <c r="C124" s="525"/>
      <c r="D124" s="525"/>
      <c r="E124" s="524"/>
      <c r="F124" s="525"/>
      <c r="G124" s="525"/>
      <c r="H124" s="525"/>
      <c r="I124" s="525"/>
      <c r="J124" s="626"/>
      <c r="K124" s="1562"/>
      <c r="L124" s="520"/>
      <c r="M124" s="520"/>
      <c r="N124" s="520"/>
      <c r="O124" s="520"/>
      <c r="P124" s="1592"/>
      <c r="Q124" s="1443"/>
      <c r="R124" s="1443"/>
      <c r="S124" s="1443"/>
      <c r="T124" s="1443"/>
      <c r="U124" s="16" t="s">
        <v>713</v>
      </c>
      <c r="V124" s="1155" t="s">
        <v>676</v>
      </c>
      <c r="W124" s="223">
        <v>60</v>
      </c>
      <c r="X124" s="223">
        <v>60</v>
      </c>
      <c r="Y124" s="1113">
        <v>40</v>
      </c>
      <c r="Z124" s="1121" t="s">
        <v>1080</v>
      </c>
      <c r="AA124" s="1302">
        <f>+Y124</f>
        <v>40</v>
      </c>
      <c r="AB124" s="223">
        <v>60</v>
      </c>
      <c r="AC124" s="223">
        <v>10</v>
      </c>
      <c r="AD124" s="223">
        <f>(((AC124/AB124*100)*AM119)/100)</f>
        <v>6.6666666666666652</v>
      </c>
      <c r="AE124" s="1121" t="s">
        <v>1302</v>
      </c>
      <c r="AF124" s="223">
        <v>16.670000000000002</v>
      </c>
      <c r="AG124" s="223">
        <v>60</v>
      </c>
      <c r="AH124" s="223">
        <v>60</v>
      </c>
      <c r="AI124" s="425">
        <f>+AH124+AG124+AB124+W124</f>
        <v>240</v>
      </c>
      <c r="AJ124" s="1136">
        <f t="shared" si="71"/>
        <v>70</v>
      </c>
      <c r="AK124" s="541">
        <f>+AJ124/AI124*100</f>
        <v>29.166666666666668</v>
      </c>
      <c r="AL124" s="1411"/>
      <c r="AM124" s="1411"/>
      <c r="AN124" s="554"/>
      <c r="AO124" s="1422">
        <v>13500000</v>
      </c>
      <c r="AP124" s="1422"/>
      <c r="AQ124" s="1422">
        <f>SUM(AO124:AP124)</f>
        <v>13500000</v>
      </c>
      <c r="AR124" s="1427"/>
      <c r="AS124" s="1427"/>
      <c r="AT124" s="1427"/>
      <c r="AU124" s="1420"/>
      <c r="AV124" s="1420"/>
      <c r="AW124" s="1420"/>
      <c r="AX124" s="1414"/>
      <c r="AY124" s="1424"/>
      <c r="AZ124" s="1405"/>
      <c r="BA124" s="1424"/>
      <c r="BB124" s="1405"/>
      <c r="BC124" s="1424"/>
      <c r="BD124" s="1588"/>
      <c r="BE124" s="1588"/>
      <c r="BF124" s="1588"/>
      <c r="BG124" s="1588">
        <f>SUM(BD124:BF124)</f>
        <v>0</v>
      </c>
      <c r="BH124" s="1588"/>
      <c r="BI124" s="1588" t="e">
        <f>+BH124/BG124*0</f>
        <v>#DIV/0!</v>
      </c>
      <c r="BJ124" s="1588"/>
      <c r="BK124" s="1588" t="e">
        <f>+BJ124/BG124*0</f>
        <v>#DIV/0!</v>
      </c>
      <c r="BL124" s="1588"/>
      <c r="BM124" s="1588" t="e">
        <f>+BL124/BG124*0</f>
        <v>#DIV/0!</v>
      </c>
      <c r="BN124" s="1388">
        <v>16000000</v>
      </c>
      <c r="BO124" s="1388"/>
      <c r="BP124" s="1388"/>
      <c r="BQ124" s="1388">
        <f>SUM(BN124:BP124)</f>
        <v>16000000</v>
      </c>
      <c r="BR124" s="1388">
        <v>16000000</v>
      </c>
      <c r="BS124" s="1388"/>
      <c r="BT124" s="1388"/>
      <c r="BU124" s="1388">
        <f>SUM(BR124:BT124)</f>
        <v>16000000</v>
      </c>
      <c r="BV124" s="1388">
        <v>16000000</v>
      </c>
      <c r="BW124" s="1388"/>
      <c r="BX124" s="1388"/>
      <c r="BY124" s="1388">
        <f>SUM(BV124:BX124)</f>
        <v>16000000</v>
      </c>
      <c r="BZ124" s="1401">
        <f>4494000+BG124+BU124+BY124+AQ124</f>
        <v>49994000</v>
      </c>
      <c r="CA124" s="1402"/>
      <c r="CB124" s="1435"/>
      <c r="CC124" s="1437"/>
      <c r="CD124" s="1745"/>
      <c r="CE124" s="528"/>
      <c r="CF124" s="528"/>
      <c r="CG124" s="529"/>
      <c r="CH124" s="64"/>
      <c r="CI124" s="64"/>
      <c r="CJ124" s="64"/>
      <c r="CL124" s="523"/>
      <c r="CX124" s="911">
        <f t="shared" si="24"/>
        <v>-16000000</v>
      </c>
      <c r="CY124" s="1010"/>
      <c r="DA124" s="1109"/>
    </row>
    <row r="125" spans="1:107" s="68" customFormat="1" ht="135" x14ac:dyDescent="0.2">
      <c r="A125" s="16"/>
      <c r="C125" s="525"/>
      <c r="D125" s="525"/>
      <c r="E125" s="524"/>
      <c r="F125" s="525"/>
      <c r="G125" s="525"/>
      <c r="H125" s="525"/>
      <c r="I125" s="525"/>
      <c r="J125" s="626"/>
      <c r="K125" s="1562"/>
      <c r="L125" s="520"/>
      <c r="M125" s="520"/>
      <c r="N125" s="520"/>
      <c r="O125" s="520"/>
      <c r="P125" s="1592"/>
      <c r="Q125" s="1443"/>
      <c r="R125" s="1443"/>
      <c r="S125" s="1443"/>
      <c r="T125" s="1443"/>
      <c r="U125" s="750" t="s">
        <v>726</v>
      </c>
      <c r="V125" s="603" t="s">
        <v>147</v>
      </c>
      <c r="W125" s="591">
        <v>100</v>
      </c>
      <c r="X125" s="591">
        <v>100</v>
      </c>
      <c r="Y125" s="1113">
        <v>40</v>
      </c>
      <c r="Z125" s="1134" t="s">
        <v>1118</v>
      </c>
      <c r="AA125" s="1113">
        <f>+Y125</f>
        <v>40</v>
      </c>
      <c r="AB125" s="591">
        <v>100</v>
      </c>
      <c r="AC125" s="591">
        <v>25</v>
      </c>
      <c r="AD125" s="223">
        <f>(((AC125/AB125*100)*AM119)/100)</f>
        <v>10</v>
      </c>
      <c r="AE125" s="1134" t="s">
        <v>1303</v>
      </c>
      <c r="AF125" s="591">
        <v>25</v>
      </c>
      <c r="AG125" s="591">
        <v>100</v>
      </c>
      <c r="AH125" s="591">
        <v>100</v>
      </c>
      <c r="AI125" s="604">
        <v>100</v>
      </c>
      <c r="AJ125" s="1136">
        <f t="shared" si="71"/>
        <v>125</v>
      </c>
      <c r="AK125" s="541">
        <v>25</v>
      </c>
      <c r="AL125" s="1412"/>
      <c r="AM125" s="1411"/>
      <c r="AN125" s="630" t="s">
        <v>725</v>
      </c>
      <c r="AO125" s="1423"/>
      <c r="AP125" s="1423"/>
      <c r="AQ125" s="1423"/>
      <c r="AR125" s="1427"/>
      <c r="AS125" s="1427"/>
      <c r="AT125" s="1427"/>
      <c r="AU125" s="1420"/>
      <c r="AV125" s="1420"/>
      <c r="AW125" s="1420"/>
      <c r="AX125" s="1414"/>
      <c r="AY125" s="1424"/>
      <c r="AZ125" s="1405"/>
      <c r="BA125" s="1424"/>
      <c r="BB125" s="1405"/>
      <c r="BC125" s="1424"/>
      <c r="BD125" s="1588"/>
      <c r="BE125" s="1588"/>
      <c r="BF125" s="1588"/>
      <c r="BG125" s="1588"/>
      <c r="BH125" s="1588"/>
      <c r="BI125" s="1588"/>
      <c r="BJ125" s="1588"/>
      <c r="BK125" s="1588"/>
      <c r="BL125" s="1588"/>
      <c r="BM125" s="1588"/>
      <c r="BN125" s="1390"/>
      <c r="BO125" s="1390"/>
      <c r="BP125" s="1390"/>
      <c r="BQ125" s="1390"/>
      <c r="BR125" s="1390"/>
      <c r="BS125" s="1390"/>
      <c r="BT125" s="1390"/>
      <c r="BU125" s="1390"/>
      <c r="BV125" s="1390"/>
      <c r="BW125" s="1390"/>
      <c r="BX125" s="1390"/>
      <c r="BY125" s="1390"/>
      <c r="BZ125" s="1403"/>
      <c r="CA125" s="1402"/>
      <c r="CB125" s="1435"/>
      <c r="CC125" s="1437"/>
      <c r="CD125" s="1745"/>
      <c r="CE125" s="528"/>
      <c r="CF125" s="528"/>
      <c r="CG125" s="529"/>
      <c r="CH125" s="64"/>
      <c r="CI125" s="64"/>
      <c r="CJ125" s="64"/>
      <c r="CL125" s="523"/>
      <c r="CX125" s="911">
        <f t="shared" si="24"/>
        <v>0</v>
      </c>
      <c r="CY125" s="1010"/>
      <c r="DA125" s="1109"/>
    </row>
    <row r="126" spans="1:107" s="68" customFormat="1" ht="64.5" customHeight="1" x14ac:dyDescent="0.2">
      <c r="A126" s="16"/>
      <c r="C126" s="525"/>
      <c r="D126" s="525"/>
      <c r="E126" s="524"/>
      <c r="F126" s="525"/>
      <c r="G126" s="525"/>
      <c r="H126" s="525"/>
      <c r="I126" s="525"/>
      <c r="J126" s="626"/>
      <c r="K126" s="1562"/>
      <c r="L126" s="520"/>
      <c r="M126" s="520"/>
      <c r="N126" s="520"/>
      <c r="O126" s="520"/>
      <c r="P126" s="1593"/>
      <c r="Q126" s="1444"/>
      <c r="R126" s="1444"/>
      <c r="S126" s="1444"/>
      <c r="T126" s="1444"/>
      <c r="U126" s="16" t="s">
        <v>794</v>
      </c>
      <c r="V126" s="603" t="s">
        <v>137</v>
      </c>
      <c r="W126" s="612"/>
      <c r="X126" s="612"/>
      <c r="Y126" s="1302"/>
      <c r="Z126" s="1343"/>
      <c r="AA126" s="1344"/>
      <c r="AB126" s="591">
        <v>1</v>
      </c>
      <c r="AC126" s="591">
        <v>0</v>
      </c>
      <c r="AD126" s="223">
        <f t="shared" ref="AD126:AD128" si="72">(((AC126/AB126*100)*AM126)/100)</f>
        <v>0</v>
      </c>
      <c r="AE126" s="1134" t="s">
        <v>1304</v>
      </c>
      <c r="AF126" s="591">
        <v>0</v>
      </c>
      <c r="AG126" s="591">
        <v>1</v>
      </c>
      <c r="AH126" s="591">
        <v>1</v>
      </c>
      <c r="AI126" s="425">
        <f>+AH126+AG126+AB126+W126</f>
        <v>3</v>
      </c>
      <c r="AJ126" s="541"/>
      <c r="AK126" s="541">
        <f>+AJ126/AI126*100</f>
        <v>0</v>
      </c>
      <c r="AL126" s="1342"/>
      <c r="AM126" s="1412"/>
      <c r="AN126" s="509"/>
      <c r="AO126" s="742"/>
      <c r="AP126" s="742"/>
      <c r="AQ126" s="742">
        <f>SUM(AO126:AP126)</f>
        <v>0</v>
      </c>
      <c r="AR126" s="1428"/>
      <c r="AS126" s="1428"/>
      <c r="AT126" s="1428"/>
      <c r="AU126" s="1421"/>
      <c r="AV126" s="1421"/>
      <c r="AW126" s="1421"/>
      <c r="AX126" s="1415"/>
      <c r="AY126" s="1425"/>
      <c r="AZ126" s="1406"/>
      <c r="BA126" s="1425"/>
      <c r="BB126" s="1406"/>
      <c r="BC126" s="1425"/>
      <c r="BD126" s="1394"/>
      <c r="BE126" s="1394"/>
      <c r="BF126" s="1394"/>
      <c r="BG126" s="1394">
        <f>SUM(BD126:BF126)</f>
        <v>0</v>
      </c>
      <c r="BH126" s="1394"/>
      <c r="BI126" s="1394" t="e">
        <f>+BH126/BG126*100</f>
        <v>#DIV/0!</v>
      </c>
      <c r="BJ126" s="1394"/>
      <c r="BK126" s="1394" t="e">
        <f>+BJ126/BG126*100</f>
        <v>#DIV/0!</v>
      </c>
      <c r="BL126" s="1394"/>
      <c r="BM126" s="1394" t="e">
        <f>+BL126/BG126*100</f>
        <v>#DIV/0!</v>
      </c>
      <c r="BN126" s="964">
        <v>15000000</v>
      </c>
      <c r="BO126" s="964"/>
      <c r="BP126" s="964"/>
      <c r="BQ126" s="964">
        <f>SUM(BN126:BP126)</f>
        <v>15000000</v>
      </c>
      <c r="BR126" s="964">
        <v>15000000</v>
      </c>
      <c r="BS126" s="964"/>
      <c r="BT126" s="964"/>
      <c r="BU126" s="964">
        <f>SUM(BR126:BT126)</f>
        <v>15000000</v>
      </c>
      <c r="BV126" s="964">
        <v>15000000</v>
      </c>
      <c r="BW126" s="964"/>
      <c r="BX126" s="964"/>
      <c r="BY126" s="964">
        <f>SUM(BV126:BX126)</f>
        <v>15000000</v>
      </c>
      <c r="BZ126" s="967">
        <f>+BG126+BU126+BY126+AQ126</f>
        <v>30000000</v>
      </c>
      <c r="CA126" s="1403"/>
      <c r="CB126" s="1438"/>
      <c r="CC126" s="1439"/>
      <c r="CD126" s="1746"/>
      <c r="CE126" s="528"/>
      <c r="CF126" s="528"/>
      <c r="CG126" s="529"/>
      <c r="CH126" s="64"/>
      <c r="CI126" s="64"/>
      <c r="CJ126" s="64"/>
      <c r="CL126" s="518"/>
      <c r="CX126" s="911">
        <f t="shared" si="24"/>
        <v>-15000000</v>
      </c>
      <c r="CY126" s="1010"/>
      <c r="DA126" s="1109"/>
    </row>
    <row r="127" spans="1:107" s="68" customFormat="1" ht="191.25" x14ac:dyDescent="0.2">
      <c r="A127" s="23" t="s">
        <v>323</v>
      </c>
      <c r="C127" s="525"/>
      <c r="D127" s="525"/>
      <c r="E127" s="524"/>
      <c r="F127" s="525"/>
      <c r="G127" s="525"/>
      <c r="H127" s="525"/>
      <c r="I127" s="525"/>
      <c r="J127" s="626"/>
      <c r="K127" s="1562"/>
      <c r="L127" s="520"/>
      <c r="M127" s="520"/>
      <c r="N127" s="520"/>
      <c r="O127" s="520"/>
      <c r="P127" s="1577" t="s">
        <v>533</v>
      </c>
      <c r="Q127" s="1442">
        <v>15</v>
      </c>
      <c r="R127" s="1442">
        <v>15</v>
      </c>
      <c r="S127" s="1442">
        <v>15</v>
      </c>
      <c r="T127" s="1442">
        <v>15</v>
      </c>
      <c r="U127" s="16" t="s">
        <v>811</v>
      </c>
      <c r="V127" s="627" t="s">
        <v>147</v>
      </c>
      <c r="W127" s="627">
        <v>44</v>
      </c>
      <c r="X127" s="627">
        <v>53</v>
      </c>
      <c r="Y127" s="1113">
        <v>15</v>
      </c>
      <c r="Z127" s="1134" t="s">
        <v>1129</v>
      </c>
      <c r="AA127" s="1347">
        <f>+Y127</f>
        <v>15</v>
      </c>
      <c r="AB127" s="627">
        <v>44</v>
      </c>
      <c r="AC127" s="1347">
        <v>21.4</v>
      </c>
      <c r="AD127" s="223">
        <f t="shared" si="72"/>
        <v>7.295454545454545</v>
      </c>
      <c r="AE127" s="627" t="s">
        <v>1305</v>
      </c>
      <c r="AF127" s="1347">
        <v>48.63</v>
      </c>
      <c r="AG127" s="627">
        <v>44</v>
      </c>
      <c r="AH127" s="627">
        <v>44</v>
      </c>
      <c r="AI127" s="627">
        <f>+W127</f>
        <v>44</v>
      </c>
      <c r="AJ127" s="1136">
        <f>+X127+AC127</f>
        <v>74.400000000000006</v>
      </c>
      <c r="AK127" s="541">
        <v>25</v>
      </c>
      <c r="AL127" s="1410">
        <v>15</v>
      </c>
      <c r="AM127" s="1410">
        <v>15</v>
      </c>
      <c r="AN127" s="632" t="s">
        <v>840</v>
      </c>
      <c r="AO127" s="1580">
        <v>200000000</v>
      </c>
      <c r="AP127" s="1580"/>
      <c r="AQ127" s="1580">
        <f>SUM(AO127:AP127)</f>
        <v>200000000</v>
      </c>
      <c r="AR127" s="1506">
        <v>308116398</v>
      </c>
      <c r="AS127" s="1583"/>
      <c r="AT127" s="1426">
        <f>+AS127+AR127</f>
        <v>308116398</v>
      </c>
      <c r="AU127" s="1419">
        <v>326616398</v>
      </c>
      <c r="AV127" s="1419"/>
      <c r="AW127" s="1419">
        <f>SUM(AU127:AV127)</f>
        <v>326616398</v>
      </c>
      <c r="AX127" s="1586">
        <v>285476455</v>
      </c>
      <c r="AY127" s="1587">
        <f>+AX127/AW127*100</f>
        <v>87.40420161023269</v>
      </c>
      <c r="AZ127" s="1516">
        <v>274091941</v>
      </c>
      <c r="BA127" s="1587">
        <f>+AZ127/AW127*100</f>
        <v>83.918609928458039</v>
      </c>
      <c r="BB127" s="1516">
        <v>274091941</v>
      </c>
      <c r="BC127" s="1587">
        <f>+BB127/AW127*100</f>
        <v>83.918609928458039</v>
      </c>
      <c r="BD127" s="1388">
        <f>383867149</f>
        <v>383867149</v>
      </c>
      <c r="BE127" s="1388"/>
      <c r="BF127" s="1388">
        <v>654724620</v>
      </c>
      <c r="BG127" s="1388">
        <f>SUM(BD127:BF129)</f>
        <v>1038591769</v>
      </c>
      <c r="BH127" s="1388">
        <f>202174905+437343229</f>
        <v>639518134</v>
      </c>
      <c r="BI127" s="1388">
        <f>+BH127/BG127*100</f>
        <v>61.575505707671361</v>
      </c>
      <c r="BJ127" s="1388">
        <f>140794621+151007560</f>
        <v>291802181</v>
      </c>
      <c r="BK127" s="1388">
        <f>+BJ127/BG127*100</f>
        <v>28.095945847997566</v>
      </c>
      <c r="BL127" s="1388">
        <f>140794621+151007560</f>
        <v>291802181</v>
      </c>
      <c r="BM127" s="1537">
        <f>+BL127/BG127*100</f>
        <v>28.095945847997566</v>
      </c>
      <c r="BN127" s="1537">
        <v>200000000</v>
      </c>
      <c r="BO127" s="1537"/>
      <c r="BP127" s="1537"/>
      <c r="BQ127" s="1537">
        <f>SUM(BN127:BP127)</f>
        <v>200000000</v>
      </c>
      <c r="BR127" s="1537">
        <v>200000000</v>
      </c>
      <c r="BS127" s="1537"/>
      <c r="BT127" s="1537"/>
      <c r="BU127" s="1537">
        <f>SUM(BR127:BT127)</f>
        <v>200000000</v>
      </c>
      <c r="BV127" s="1537">
        <f>+ROUND(BR127*0.02,0)+BR127</f>
        <v>204000000</v>
      </c>
      <c r="BW127" s="1537"/>
      <c r="BX127" s="1537"/>
      <c r="BY127" s="1537">
        <f>SUM(BV127:BX127)</f>
        <v>204000000</v>
      </c>
      <c r="BZ127" s="1559">
        <f>+AW127+BG127+BU127+BY127</f>
        <v>1769208167</v>
      </c>
      <c r="CA127" s="1480">
        <f>+BH127+AX127</f>
        <v>924994589</v>
      </c>
      <c r="CB127" s="1671">
        <f>+CA127/BZ127*100</f>
        <v>52.282970780566153</v>
      </c>
      <c r="CC127" s="1436" t="s">
        <v>1002</v>
      </c>
      <c r="CD127" s="1743" t="s">
        <v>1192</v>
      </c>
      <c r="CE127" s="543"/>
      <c r="CF127" s="528"/>
      <c r="CG127" s="529"/>
      <c r="CH127" s="64"/>
      <c r="CI127" s="64"/>
      <c r="CJ127" s="64"/>
      <c r="CL127" s="251">
        <v>18500000</v>
      </c>
      <c r="CX127" s="911">
        <f t="shared" si="24"/>
        <v>183867149</v>
      </c>
      <c r="CY127" s="1046"/>
      <c r="CZ127" s="1047"/>
      <c r="DA127" s="1117"/>
    </row>
    <row r="128" spans="1:107" s="68" customFormat="1" ht="225" x14ac:dyDescent="0.2">
      <c r="A128" s="23"/>
      <c r="C128" s="525"/>
      <c r="D128" s="525"/>
      <c r="E128" s="524"/>
      <c r="F128" s="525"/>
      <c r="G128" s="525"/>
      <c r="H128" s="525"/>
      <c r="I128" s="525"/>
      <c r="J128" s="626"/>
      <c r="K128" s="1562"/>
      <c r="L128" s="520"/>
      <c r="M128" s="520"/>
      <c r="N128" s="520"/>
      <c r="O128" s="520"/>
      <c r="P128" s="1578"/>
      <c r="Q128" s="1443"/>
      <c r="R128" s="1443"/>
      <c r="S128" s="1443"/>
      <c r="T128" s="1443"/>
      <c r="U128" s="16" t="s">
        <v>812</v>
      </c>
      <c r="V128" s="627" t="s">
        <v>147</v>
      </c>
      <c r="W128" s="628">
        <v>100</v>
      </c>
      <c r="X128" s="628">
        <v>100</v>
      </c>
      <c r="Y128" s="1302">
        <v>15</v>
      </c>
      <c r="Z128" s="629" t="s">
        <v>1081</v>
      </c>
      <c r="AA128" s="1346">
        <f>+Y128</f>
        <v>15</v>
      </c>
      <c r="AB128" s="628">
        <v>100</v>
      </c>
      <c r="AC128" s="628">
        <v>45.43</v>
      </c>
      <c r="AD128" s="223">
        <f t="shared" si="72"/>
        <v>0</v>
      </c>
      <c r="AE128" s="627" t="s">
        <v>1306</v>
      </c>
      <c r="AF128" s="628">
        <v>50</v>
      </c>
      <c r="AG128" s="628">
        <v>100</v>
      </c>
      <c r="AH128" s="628">
        <v>100</v>
      </c>
      <c r="AI128" s="628">
        <v>100</v>
      </c>
      <c r="AJ128" s="1136">
        <f>+X128+AC128</f>
        <v>145.43</v>
      </c>
      <c r="AK128" s="541">
        <v>25</v>
      </c>
      <c r="AL128" s="1411"/>
      <c r="AM128" s="1411"/>
      <c r="AN128" s="16" t="s">
        <v>813</v>
      </c>
      <c r="AO128" s="1581"/>
      <c r="AP128" s="1581"/>
      <c r="AQ128" s="1581"/>
      <c r="AR128" s="1507"/>
      <c r="AS128" s="1584"/>
      <c r="AT128" s="1427"/>
      <c r="AU128" s="1420"/>
      <c r="AV128" s="1420"/>
      <c r="AW128" s="1420"/>
      <c r="AX128" s="1586"/>
      <c r="AY128" s="1587"/>
      <c r="AZ128" s="1517"/>
      <c r="BA128" s="1587"/>
      <c r="BB128" s="1517"/>
      <c r="BC128" s="1587"/>
      <c r="BD128" s="1389"/>
      <c r="BE128" s="1389"/>
      <c r="BF128" s="1389"/>
      <c r="BG128" s="1389"/>
      <c r="BH128" s="1389"/>
      <c r="BI128" s="1389"/>
      <c r="BJ128" s="1389"/>
      <c r="BK128" s="1389"/>
      <c r="BL128" s="1389"/>
      <c r="BM128" s="1538"/>
      <c r="BN128" s="1538"/>
      <c r="BO128" s="1538"/>
      <c r="BP128" s="1538"/>
      <c r="BQ128" s="1538"/>
      <c r="BR128" s="1538"/>
      <c r="BS128" s="1538"/>
      <c r="BT128" s="1538"/>
      <c r="BU128" s="1538"/>
      <c r="BV128" s="1538"/>
      <c r="BW128" s="1538"/>
      <c r="BX128" s="1538"/>
      <c r="BY128" s="1538"/>
      <c r="BZ128" s="1560"/>
      <c r="CA128" s="1481"/>
      <c r="CB128" s="1671"/>
      <c r="CC128" s="1437"/>
      <c r="CD128" s="1743"/>
      <c r="CE128" s="543"/>
      <c r="CF128" s="528"/>
      <c r="CG128" s="529"/>
      <c r="CH128" s="64"/>
      <c r="CI128" s="64"/>
      <c r="CJ128" s="64"/>
      <c r="CL128" s="523"/>
      <c r="CX128" s="911">
        <f t="shared" si="24"/>
        <v>0</v>
      </c>
      <c r="CY128" s="1041"/>
      <c r="CZ128" s="1042"/>
      <c r="DA128" s="1069"/>
    </row>
    <row r="129" spans="1:107" s="68" customFormat="1" ht="67.5" x14ac:dyDescent="0.2">
      <c r="A129" s="618"/>
      <c r="C129" s="525"/>
      <c r="D129" s="525"/>
      <c r="E129" s="524"/>
      <c r="F129" s="525"/>
      <c r="G129" s="525"/>
      <c r="H129" s="525"/>
      <c r="I129" s="525"/>
      <c r="J129" s="626"/>
      <c r="K129" s="1562"/>
      <c r="L129" s="520"/>
      <c r="M129" s="520"/>
      <c r="N129" s="520"/>
      <c r="O129" s="520"/>
      <c r="P129" s="1579"/>
      <c r="Q129" s="1444"/>
      <c r="R129" s="1444"/>
      <c r="S129" s="1444"/>
      <c r="T129" s="1444"/>
      <c r="U129" s="750" t="s">
        <v>914</v>
      </c>
      <c r="V129" s="628" t="s">
        <v>147</v>
      </c>
      <c r="W129" s="628">
        <v>100</v>
      </c>
      <c r="X129" s="628">
        <v>70</v>
      </c>
      <c r="Y129" s="1113">
        <f>(((X129/W129*100)*AL127)/100)</f>
        <v>10.5</v>
      </c>
      <c r="Z129" s="629" t="s">
        <v>1082</v>
      </c>
      <c r="AA129" s="1346">
        <f>+X129</f>
        <v>70</v>
      </c>
      <c r="AB129" s="628">
        <v>100</v>
      </c>
      <c r="AC129" s="628">
        <v>0</v>
      </c>
      <c r="AD129" s="223">
        <f>(((AC129/AB129*100)*AM127)/100)</f>
        <v>0</v>
      </c>
      <c r="AE129" s="627" t="s">
        <v>1307</v>
      </c>
      <c r="AF129" s="628">
        <v>10</v>
      </c>
      <c r="AG129" s="628">
        <v>100</v>
      </c>
      <c r="AH129" s="628">
        <v>100</v>
      </c>
      <c r="AI129" s="628">
        <v>100</v>
      </c>
      <c r="AJ129" s="1136">
        <f>+X129+AC129</f>
        <v>70</v>
      </c>
      <c r="AK129" s="566">
        <v>17.5</v>
      </c>
      <c r="AL129" s="1412"/>
      <c r="AM129" s="1412"/>
      <c r="AN129" s="631"/>
      <c r="AO129" s="1582"/>
      <c r="AP129" s="1582"/>
      <c r="AQ129" s="1582"/>
      <c r="AR129" s="1508"/>
      <c r="AS129" s="1585"/>
      <c r="AT129" s="1428"/>
      <c r="AU129" s="1421"/>
      <c r="AV129" s="1421"/>
      <c r="AW129" s="1421"/>
      <c r="AX129" s="1586"/>
      <c r="AY129" s="1587"/>
      <c r="AZ129" s="1518"/>
      <c r="BA129" s="1587"/>
      <c r="BB129" s="1518"/>
      <c r="BC129" s="1587"/>
      <c r="BD129" s="1390"/>
      <c r="BE129" s="1390"/>
      <c r="BF129" s="1390"/>
      <c r="BG129" s="1390"/>
      <c r="BH129" s="1390"/>
      <c r="BI129" s="1390"/>
      <c r="BJ129" s="1390"/>
      <c r="BK129" s="1390"/>
      <c r="BL129" s="1390"/>
      <c r="BM129" s="1539"/>
      <c r="BN129" s="1539"/>
      <c r="BO129" s="1539"/>
      <c r="BP129" s="1539"/>
      <c r="BQ129" s="1539"/>
      <c r="BR129" s="1539"/>
      <c r="BS129" s="1539"/>
      <c r="BT129" s="1539"/>
      <c r="BU129" s="1539"/>
      <c r="BV129" s="1539"/>
      <c r="BW129" s="1539"/>
      <c r="BX129" s="1539"/>
      <c r="BY129" s="1539"/>
      <c r="BZ129" s="1561"/>
      <c r="CA129" s="1482"/>
      <c r="CB129" s="1671"/>
      <c r="CC129" s="1439"/>
      <c r="CD129" s="1743"/>
      <c r="CE129" s="543"/>
      <c r="CF129" s="528"/>
      <c r="CG129" s="529"/>
      <c r="CH129" s="64"/>
      <c r="CI129" s="64"/>
      <c r="CJ129" s="64"/>
      <c r="CL129" s="252"/>
      <c r="CX129" s="911">
        <f t="shared" si="24"/>
        <v>0</v>
      </c>
      <c r="CY129" s="1010"/>
      <c r="DA129" s="1068"/>
    </row>
    <row r="130" spans="1:107" s="68" customFormat="1" ht="180" x14ac:dyDescent="0.2">
      <c r="A130" s="618" t="s">
        <v>120</v>
      </c>
      <c r="C130" s="525"/>
      <c r="D130" s="525"/>
      <c r="E130" s="524"/>
      <c r="F130" s="525"/>
      <c r="G130" s="525"/>
      <c r="H130" s="525"/>
      <c r="I130" s="525"/>
      <c r="J130" s="633"/>
      <c r="K130" s="1536"/>
      <c r="L130" s="521"/>
      <c r="M130" s="521"/>
      <c r="N130" s="521"/>
      <c r="O130" s="521"/>
      <c r="P130" s="618" t="s">
        <v>120</v>
      </c>
      <c r="Q130" s="568">
        <v>15</v>
      </c>
      <c r="R130" s="568">
        <v>15</v>
      </c>
      <c r="S130" s="568">
        <v>15</v>
      </c>
      <c r="T130" s="568">
        <v>15</v>
      </c>
      <c r="U130" s="16" t="s">
        <v>814</v>
      </c>
      <c r="V130" s="627" t="s">
        <v>697</v>
      </c>
      <c r="W130" s="627">
        <v>76</v>
      </c>
      <c r="X130" s="627">
        <v>56.26</v>
      </c>
      <c r="Y130" s="1302">
        <v>15</v>
      </c>
      <c r="Z130" s="627" t="s">
        <v>1139</v>
      </c>
      <c r="AA130" s="1347">
        <f>+Y130</f>
        <v>15</v>
      </c>
      <c r="AB130" s="627">
        <v>76</v>
      </c>
      <c r="AC130" s="1348">
        <v>60.2</v>
      </c>
      <c r="AD130" s="1314">
        <v>7.5</v>
      </c>
      <c r="AE130" s="627" t="s">
        <v>1308</v>
      </c>
      <c r="AF130" s="627">
        <v>50</v>
      </c>
      <c r="AG130" s="627">
        <v>76</v>
      </c>
      <c r="AH130" s="627">
        <v>76</v>
      </c>
      <c r="AI130" s="627">
        <v>76</v>
      </c>
      <c r="AJ130" s="1136">
        <f>+X130+AC130</f>
        <v>116.46000000000001</v>
      </c>
      <c r="AK130" s="541">
        <v>25</v>
      </c>
      <c r="AL130" s="1342">
        <v>15</v>
      </c>
      <c r="AM130" s="1342">
        <v>15</v>
      </c>
      <c r="AN130" s="16" t="s">
        <v>815</v>
      </c>
      <c r="AO130" s="197">
        <v>1265445608</v>
      </c>
      <c r="AP130" s="197"/>
      <c r="AQ130" s="197">
        <f t="shared" ref="AQ130:AQ135" si="73">SUM(AO130:AP130)</f>
        <v>1265445608</v>
      </c>
      <c r="AR130" s="581">
        <v>1265445608</v>
      </c>
      <c r="AS130" s="411"/>
      <c r="AT130" s="411">
        <f>+AS130+AR130</f>
        <v>1265445608</v>
      </c>
      <c r="AU130" s="710">
        <v>1337445608</v>
      </c>
      <c r="AV130" s="715"/>
      <c r="AW130" s="710">
        <f t="shared" ref="AW130:AW135" si="74">SUM(AU130:AV130)</f>
        <v>1337445608</v>
      </c>
      <c r="AX130" s="776">
        <v>1231589557</v>
      </c>
      <c r="AY130" s="680">
        <f t="shared" ref="AY130:AY135" si="75">+AX130/AW130*100</f>
        <v>92.08520702697615</v>
      </c>
      <c r="AZ130" s="678">
        <v>1226547941</v>
      </c>
      <c r="BA130" s="680">
        <f t="shared" ref="BA130:BA135" si="76">+AZ130/AW130*100</f>
        <v>91.708248444896753</v>
      </c>
      <c r="BB130" s="678">
        <v>1226547941</v>
      </c>
      <c r="BC130" s="680">
        <f t="shared" ref="BC130:BC135" si="77">+BB130/AW130*100</f>
        <v>91.708248444896753</v>
      </c>
      <c r="BD130" s="1031">
        <v>1390662820</v>
      </c>
      <c r="BE130" s="1031"/>
      <c r="BF130" s="1031"/>
      <c r="BG130" s="1031">
        <f>SUM(BD130:BF130)</f>
        <v>1390662820</v>
      </c>
      <c r="BH130" s="1076">
        <v>591179066</v>
      </c>
      <c r="BI130" s="1031">
        <f>+BH130/BG130*100</f>
        <v>42.510596925284879</v>
      </c>
      <c r="BJ130" s="1076">
        <v>559227076</v>
      </c>
      <c r="BK130" s="1031">
        <f>+BJ130/BG130*100</f>
        <v>40.212988220969336</v>
      </c>
      <c r="BL130" s="1076">
        <v>559227076</v>
      </c>
      <c r="BM130" s="964">
        <f>+BL130/BG130*100</f>
        <v>40.212988220969336</v>
      </c>
      <c r="BN130" s="991">
        <v>1402819000</v>
      </c>
      <c r="BO130" s="991"/>
      <c r="BP130" s="991"/>
      <c r="BQ130" s="991">
        <f t="shared" ref="BQ130:BQ138" si="78">SUM(BN130:BP130)</f>
        <v>1402819000</v>
      </c>
      <c r="BR130" s="991">
        <v>1501016330</v>
      </c>
      <c r="BS130" s="991"/>
      <c r="BT130" s="991"/>
      <c r="BU130" s="991">
        <f t="shared" ref="BU130:BU138" si="79">SUM(BR130:BT130)</f>
        <v>1501016330</v>
      </c>
      <c r="BV130" s="991">
        <v>1606087473</v>
      </c>
      <c r="BW130" s="991"/>
      <c r="BX130" s="991"/>
      <c r="BY130" s="991">
        <f t="shared" ref="BY130:BY138" si="80">SUM(BV130:BX130)</f>
        <v>1606087473</v>
      </c>
      <c r="BZ130" s="967">
        <f>+AW130+BG130+BU130+BY130</f>
        <v>5835212231</v>
      </c>
      <c r="CA130" s="977">
        <f>+BH130+AX130</f>
        <v>1822768623</v>
      </c>
      <c r="CB130" s="970">
        <f>+CA130/BZ130*100</f>
        <v>31.237400643568812</v>
      </c>
      <c r="CC130" s="699" t="s">
        <v>1003</v>
      </c>
      <c r="CD130" s="1033"/>
      <c r="CE130" s="543"/>
      <c r="CF130" s="528"/>
      <c r="CG130" s="529"/>
      <c r="CH130" s="64"/>
      <c r="CI130" s="64"/>
      <c r="CJ130" s="64"/>
      <c r="CL130" s="528">
        <v>72000000</v>
      </c>
      <c r="CX130" s="911">
        <f t="shared" si="24"/>
        <v>-12156180</v>
      </c>
      <c r="CY130" s="1010"/>
      <c r="DA130" s="1068"/>
    </row>
    <row r="131" spans="1:107" s="830" customFormat="1" ht="78.75" customHeight="1" x14ac:dyDescent="0.2">
      <c r="A131" s="819" t="s">
        <v>121</v>
      </c>
      <c r="C131" s="848"/>
      <c r="D131" s="848"/>
      <c r="E131" s="832"/>
      <c r="F131" s="848"/>
      <c r="G131" s="848"/>
      <c r="H131" s="848"/>
      <c r="I131" s="848"/>
      <c r="J131" s="1205" t="s">
        <v>863</v>
      </c>
      <c r="K131" s="1205"/>
      <c r="L131" s="1209">
        <v>20</v>
      </c>
      <c r="M131" s="1209">
        <v>20</v>
      </c>
      <c r="N131" s="1209">
        <v>20</v>
      </c>
      <c r="O131" s="1209">
        <v>20</v>
      </c>
      <c r="P131" s="1138"/>
      <c r="Q131" s="1227"/>
      <c r="R131" s="1227"/>
      <c r="S131" s="1227"/>
      <c r="T131" s="1227"/>
      <c r="U131" s="1227"/>
      <c r="V131" s="1228"/>
      <c r="W131" s="1260"/>
      <c r="X131" s="1260"/>
      <c r="Y131" s="1261">
        <f>(((Y132)*AL131)/100)</f>
        <v>20</v>
      </c>
      <c r="Z131" s="1278"/>
      <c r="AA131" s="1279">
        <f>((((AA132)/1)*AL131)/100)</f>
        <v>20</v>
      </c>
      <c r="AB131" s="1229"/>
      <c r="AC131" s="1229"/>
      <c r="AD131" s="1261">
        <f>(((AD132)*AM131)/100)</f>
        <v>20</v>
      </c>
      <c r="AE131" s="1229"/>
      <c r="AF131" s="1261">
        <f>+AF132</f>
        <v>100</v>
      </c>
      <c r="AG131" s="1229"/>
      <c r="AH131" s="1229"/>
      <c r="AI131" s="1229"/>
      <c r="AJ131" s="1139"/>
      <c r="AK131" s="1279">
        <f>((AK132)/1)</f>
        <v>73.727272727272734</v>
      </c>
      <c r="AL131" s="1261">
        <f>+L131</f>
        <v>20</v>
      </c>
      <c r="AM131" s="1261">
        <v>20</v>
      </c>
      <c r="AN131" s="1255"/>
      <c r="AO131" s="821">
        <f>+AO132</f>
        <v>200000000</v>
      </c>
      <c r="AP131" s="821">
        <f>+AP132</f>
        <v>0</v>
      </c>
      <c r="AQ131" s="821">
        <f t="shared" si="73"/>
        <v>200000000</v>
      </c>
      <c r="AR131" s="822">
        <f>+AR132</f>
        <v>319238168</v>
      </c>
      <c r="AS131" s="822">
        <f>+AS132</f>
        <v>0</v>
      </c>
      <c r="AT131" s="822">
        <f>+AT132</f>
        <v>319238168</v>
      </c>
      <c r="AU131" s="823">
        <f>+AU132</f>
        <v>339037048</v>
      </c>
      <c r="AV131" s="823">
        <f>+AV132</f>
        <v>0</v>
      </c>
      <c r="AW131" s="823">
        <f t="shared" si="74"/>
        <v>339037048</v>
      </c>
      <c r="AX131" s="824">
        <f>+AX132</f>
        <v>301504531</v>
      </c>
      <c r="AY131" s="825">
        <f t="shared" si="75"/>
        <v>88.929670895435592</v>
      </c>
      <c r="AZ131" s="826">
        <f>+AZ132</f>
        <v>272033785</v>
      </c>
      <c r="BA131" s="825">
        <f t="shared" si="76"/>
        <v>80.237185465347721</v>
      </c>
      <c r="BB131" s="826">
        <f>+BB132</f>
        <v>272033785</v>
      </c>
      <c r="BC131" s="825">
        <f t="shared" si="77"/>
        <v>80.237185465347721</v>
      </c>
      <c r="BD131" s="947">
        <f>+BD132</f>
        <v>392761422</v>
      </c>
      <c r="BE131" s="947">
        <f>+BE132</f>
        <v>0</v>
      </c>
      <c r="BF131" s="947">
        <f>+BF132</f>
        <v>0</v>
      </c>
      <c r="BG131" s="947">
        <f t="shared" ref="BG131:BG138" si="81">SUM(BD131:BF131)</f>
        <v>392761422</v>
      </c>
      <c r="BH131" s="947">
        <f>+BH132</f>
        <v>184765296</v>
      </c>
      <c r="BI131" s="947">
        <f>+BH131/BG131*100</f>
        <v>47.042628336344094</v>
      </c>
      <c r="BJ131" s="947">
        <f>+BJ132</f>
        <v>107781657</v>
      </c>
      <c r="BK131" s="947">
        <f>+BJ131/BG131*100</f>
        <v>27.442017205040059</v>
      </c>
      <c r="BL131" s="947">
        <f>+BL132</f>
        <v>107781657</v>
      </c>
      <c r="BM131" s="947">
        <f>+BL131/BG131*100</f>
        <v>27.442017205040059</v>
      </c>
      <c r="BN131" s="947">
        <f>+BN132</f>
        <v>200000000</v>
      </c>
      <c r="BO131" s="947">
        <f>+BO132</f>
        <v>0</v>
      </c>
      <c r="BP131" s="947">
        <f>+BP132</f>
        <v>0</v>
      </c>
      <c r="BQ131" s="947">
        <f t="shared" si="78"/>
        <v>200000000</v>
      </c>
      <c r="BR131" s="947">
        <f>+BR132</f>
        <v>200000000</v>
      </c>
      <c r="BS131" s="947">
        <f>+BS132</f>
        <v>0</v>
      </c>
      <c r="BT131" s="947">
        <f>+BT132</f>
        <v>0</v>
      </c>
      <c r="BU131" s="947">
        <f t="shared" si="79"/>
        <v>200000000</v>
      </c>
      <c r="BV131" s="947">
        <f>+BV132</f>
        <v>204844560</v>
      </c>
      <c r="BW131" s="947">
        <f>+BW132</f>
        <v>0</v>
      </c>
      <c r="BX131" s="947">
        <f>+BX132</f>
        <v>0</v>
      </c>
      <c r="BY131" s="947">
        <f t="shared" si="80"/>
        <v>204844560</v>
      </c>
      <c r="BZ131" s="948">
        <f>+BZ132</f>
        <v>1136643030</v>
      </c>
      <c r="CA131" s="948">
        <f>+CA132</f>
        <v>486269827</v>
      </c>
      <c r="CB131" s="949">
        <f>+CA131/BZ131*100</f>
        <v>42.781226309899601</v>
      </c>
      <c r="CC131" s="827"/>
      <c r="CD131" s="825"/>
      <c r="CE131" s="828"/>
      <c r="CF131" s="834">
        <f>+BZ132</f>
        <v>1136643030</v>
      </c>
      <c r="CG131" s="829">
        <v>119238168</v>
      </c>
      <c r="CH131" s="815"/>
      <c r="CI131" s="815"/>
      <c r="CJ131" s="846"/>
      <c r="CL131" s="821"/>
      <c r="CX131" s="911">
        <f t="shared" si="24"/>
        <v>192761422</v>
      </c>
      <c r="CY131" s="1009"/>
      <c r="DA131" s="1067"/>
    </row>
    <row r="132" spans="1:107" s="68" customFormat="1" ht="112.5" x14ac:dyDescent="0.2">
      <c r="A132" s="16" t="s">
        <v>122</v>
      </c>
      <c r="C132" s="525"/>
      <c r="D132" s="525"/>
      <c r="E132" s="524"/>
      <c r="F132" s="525"/>
      <c r="G132" s="525"/>
      <c r="H132" s="525"/>
      <c r="I132" s="525"/>
      <c r="J132" s="634"/>
      <c r="K132" s="291" t="s">
        <v>421</v>
      </c>
      <c r="L132" s="519"/>
      <c r="M132" s="519"/>
      <c r="N132" s="519"/>
      <c r="O132" s="519"/>
      <c r="P132" s="519" t="s">
        <v>122</v>
      </c>
      <c r="Q132" s="568">
        <v>100</v>
      </c>
      <c r="R132" s="568">
        <v>100</v>
      </c>
      <c r="S132" s="568">
        <v>100</v>
      </c>
      <c r="T132" s="568">
        <v>100</v>
      </c>
      <c r="U132" s="16" t="s">
        <v>534</v>
      </c>
      <c r="V132" s="635" t="s">
        <v>137</v>
      </c>
      <c r="W132" s="226">
        <v>2000</v>
      </c>
      <c r="X132" s="226">
        <v>2251</v>
      </c>
      <c r="Y132" s="1302">
        <f>+IF(((X132/W132)*100)&lt;100,(X132/W132)*100,100)</f>
        <v>100</v>
      </c>
      <c r="Z132" s="1121" t="s">
        <v>1083</v>
      </c>
      <c r="AA132" s="1312">
        <f>+Y132</f>
        <v>100</v>
      </c>
      <c r="AB132" s="425">
        <v>800</v>
      </c>
      <c r="AC132" s="425">
        <v>993</v>
      </c>
      <c r="AD132" s="223">
        <v>100</v>
      </c>
      <c r="AE132" s="506" t="s">
        <v>1352</v>
      </c>
      <c r="AF132" s="425">
        <v>100</v>
      </c>
      <c r="AG132" s="425">
        <v>800</v>
      </c>
      <c r="AH132" s="425">
        <v>800</v>
      </c>
      <c r="AI132" s="553">
        <f>(W132+AB132+AG132+AH132)</f>
        <v>4400</v>
      </c>
      <c r="AJ132" s="1136">
        <f>+X132+AC132</f>
        <v>3244</v>
      </c>
      <c r="AK132" s="541">
        <f>+AJ132/AI132*100</f>
        <v>73.727272727272734</v>
      </c>
      <c r="AL132" s="1342">
        <v>100</v>
      </c>
      <c r="AM132" s="1310">
        <v>100</v>
      </c>
      <c r="AN132" s="560"/>
      <c r="AO132" s="251">
        <v>200000000</v>
      </c>
      <c r="AP132" s="251"/>
      <c r="AQ132" s="251">
        <f t="shared" si="73"/>
        <v>200000000</v>
      </c>
      <c r="AR132" s="581">
        <v>319238168</v>
      </c>
      <c r="AS132" s="561"/>
      <c r="AT132" s="561">
        <f>+AS132+AR132</f>
        <v>319238168</v>
      </c>
      <c r="AU132" s="706">
        <v>339037048</v>
      </c>
      <c r="AV132" s="706"/>
      <c r="AW132" s="706">
        <f t="shared" si="74"/>
        <v>339037048</v>
      </c>
      <c r="AX132" s="776">
        <v>301504531</v>
      </c>
      <c r="AY132" s="680">
        <f t="shared" si="75"/>
        <v>88.929670895435592</v>
      </c>
      <c r="AZ132" s="683">
        <v>272033785</v>
      </c>
      <c r="BA132" s="680">
        <f t="shared" si="76"/>
        <v>80.237185465347721</v>
      </c>
      <c r="BB132" s="678">
        <v>272033785</v>
      </c>
      <c r="BC132" s="680">
        <f t="shared" si="77"/>
        <v>80.237185465347721</v>
      </c>
      <c r="BD132" s="1076">
        <v>392761422</v>
      </c>
      <c r="BE132" s="1031"/>
      <c r="BF132" s="1031"/>
      <c r="BG132" s="1031">
        <f t="shared" si="81"/>
        <v>392761422</v>
      </c>
      <c r="BH132" s="1076">
        <v>184765296</v>
      </c>
      <c r="BI132" s="997">
        <f>+BH132/BG132*100</f>
        <v>47.042628336344094</v>
      </c>
      <c r="BJ132" s="1076">
        <v>107781657</v>
      </c>
      <c r="BK132" s="997">
        <f>+BJ132/BG132*100</f>
        <v>27.442017205040059</v>
      </c>
      <c r="BL132" s="1076">
        <v>107781657</v>
      </c>
      <c r="BM132" s="997">
        <f>+BL132/BG132*100</f>
        <v>27.442017205040059</v>
      </c>
      <c r="BN132" s="950">
        <v>200000000</v>
      </c>
      <c r="BO132" s="950"/>
      <c r="BP132" s="950"/>
      <c r="BQ132" s="950">
        <f t="shared" si="78"/>
        <v>200000000</v>
      </c>
      <c r="BR132" s="950">
        <v>200000000</v>
      </c>
      <c r="BS132" s="950"/>
      <c r="BT132" s="950"/>
      <c r="BU132" s="950">
        <f t="shared" si="79"/>
        <v>200000000</v>
      </c>
      <c r="BV132" s="950">
        <v>204844560</v>
      </c>
      <c r="BW132" s="950"/>
      <c r="BX132" s="950"/>
      <c r="BY132" s="950">
        <f t="shared" si="80"/>
        <v>204844560</v>
      </c>
      <c r="BZ132" s="953">
        <f>+AW132+BG132+BU132+BY132</f>
        <v>1136643030</v>
      </c>
      <c r="CA132" s="977">
        <f>+BH132+AX132</f>
        <v>486269827</v>
      </c>
      <c r="CB132" s="970">
        <f>+CA132/BZ132*100</f>
        <v>42.781226309899601</v>
      </c>
      <c r="CC132" s="695" t="s">
        <v>1004</v>
      </c>
      <c r="CD132" s="1038" t="s">
        <v>1175</v>
      </c>
      <c r="CE132" s="542"/>
      <c r="CF132" s="528"/>
      <c r="CG132" s="529"/>
      <c r="CH132" s="64"/>
      <c r="CI132" s="64"/>
      <c r="CJ132" s="64"/>
      <c r="CL132" s="251">
        <v>19798880</v>
      </c>
      <c r="CX132" s="911">
        <f t="shared" si="24"/>
        <v>192761422</v>
      </c>
      <c r="CY132" s="1054"/>
      <c r="CZ132" s="1015"/>
      <c r="DA132" s="1104" t="s">
        <v>1226</v>
      </c>
      <c r="DB132" s="1074">
        <f>223+248+522</f>
        <v>993</v>
      </c>
    </row>
    <row r="133" spans="1:107" s="7" customFormat="1" ht="70.150000000000006" customHeight="1" x14ac:dyDescent="0.2">
      <c r="C133" s="289" t="s">
        <v>670</v>
      </c>
      <c r="D133" s="290" t="s">
        <v>675</v>
      </c>
      <c r="E133" s="289" t="s">
        <v>864</v>
      </c>
      <c r="F133" s="309">
        <v>10</v>
      </c>
      <c r="G133" s="309">
        <v>10</v>
      </c>
      <c r="H133" s="309">
        <v>10</v>
      </c>
      <c r="I133" s="309">
        <v>10</v>
      </c>
      <c r="J133" s="1174"/>
      <c r="K133" s="1187"/>
      <c r="L133" s="1161"/>
      <c r="M133" s="1161"/>
      <c r="N133" s="1161"/>
      <c r="O133" s="1161"/>
      <c r="P133" s="1188"/>
      <c r="Q133" s="1162"/>
      <c r="R133" s="1162"/>
      <c r="S133" s="1162"/>
      <c r="T133" s="1162"/>
      <c r="U133" s="1189"/>
      <c r="V133" s="1190"/>
      <c r="W133" s="1191"/>
      <c r="X133" s="1191"/>
      <c r="Y133" s="1170">
        <f>(((Y134+Y140+Y144+Y148+Y152+Y154+Y162+Y157)*AL133)/100)</f>
        <v>9.8000000000000007</v>
      </c>
      <c r="Z133" s="1192"/>
      <c r="AA133" s="1193">
        <f>(((AA134+AA140+AA144+AA148+AA152+AA154+AA162+AA157)*AL133)/100)</f>
        <v>5.6025</v>
      </c>
      <c r="AB133" s="1164"/>
      <c r="AC133" s="1194"/>
      <c r="AD133" s="1194">
        <f>(((AD134+AD140+AD144+AD148+AD152+AD154+AD162+AD157)*AM133)/100)</f>
        <v>1.8543322162804514</v>
      </c>
      <c r="AE133" s="1164"/>
      <c r="AF133" s="1194">
        <f>(AF134+AF140+AF144+AF148+AF152+AF154+AF162+AF157+AF166)/9</f>
        <v>37.869629629629635</v>
      </c>
      <c r="AG133" s="1164"/>
      <c r="AH133" s="1164"/>
      <c r="AI133" s="1191"/>
      <c r="AJ133" s="1195"/>
      <c r="AK133" s="1193">
        <f>((AK134+AK140+AK144+AK148+AK152+AK154+AK162+AK157+AK166)/9)</f>
        <v>26.224747474747474</v>
      </c>
      <c r="AL133" s="1195">
        <f>+F133</f>
        <v>10</v>
      </c>
      <c r="AM133" s="1195">
        <v>10</v>
      </c>
      <c r="AN133" s="1196"/>
      <c r="AO133" s="325">
        <f>+AO134+AO140+AO144+AO148+AO152+AO154+AO157+AO162+AO166</f>
        <v>1056910825</v>
      </c>
      <c r="AP133" s="325">
        <f>+AP134+AP140+AP144+AP148+AP152+AP154+AP157+AP162+AP166</f>
        <v>0</v>
      </c>
      <c r="AQ133" s="325">
        <f t="shared" si="73"/>
        <v>1056910825</v>
      </c>
      <c r="AR133" s="415">
        <f>+AR134+AR140+AR144+AR148+AR152+AR154+AR157+AR162+AR166</f>
        <v>1591910825</v>
      </c>
      <c r="AS133" s="415">
        <f>+AS134+AS140+AS144+AS148+AS152+AS154+AS157+AS162+AS166</f>
        <v>0</v>
      </c>
      <c r="AT133" s="415">
        <f>+AT134+AT140+AT144+AT148+AT152+AT154+AT157+AT162+AT166</f>
        <v>1591910825</v>
      </c>
      <c r="AU133" s="712">
        <f>+AU134+AU140+AU144+AU148+AU152+AU154+AU157+AU162+AU166</f>
        <v>1826210636</v>
      </c>
      <c r="AV133" s="712">
        <f>+AV134+AV140+AV144+AV148+AV152+AV154+AV157+AV162+AV166</f>
        <v>0</v>
      </c>
      <c r="AW133" s="712">
        <f t="shared" si="74"/>
        <v>1826210636</v>
      </c>
      <c r="AX133" s="779">
        <f>+AX134+AX140+AX144+AX148+AX152+AX154+AX157+AX162+AX166</f>
        <v>1337870709</v>
      </c>
      <c r="AY133" s="687">
        <f t="shared" si="75"/>
        <v>73.259386547565811</v>
      </c>
      <c r="AZ133" s="688">
        <f>+AZ134+AZ140+AZ144+AZ148+AZ152+AZ154+AZ157+AZ162+AZ166</f>
        <v>838773497</v>
      </c>
      <c r="BA133" s="687">
        <f t="shared" si="76"/>
        <v>45.929723574340194</v>
      </c>
      <c r="BB133" s="688">
        <f>+BB134+BB140+BB144+BB148+BB152+BB154+BB157+BB162+BB166</f>
        <v>829488997</v>
      </c>
      <c r="BC133" s="687">
        <f t="shared" si="77"/>
        <v>45.421321103290303</v>
      </c>
      <c r="BD133" s="944">
        <f>+BD134+BD140+BD144+BD148+BD152+BD154+BD157+BD162+BD166</f>
        <v>1528788601.0039999</v>
      </c>
      <c r="BE133" s="944">
        <f>+BE134+BE140+BE144+BE148+BE152+BE154+BE157+BE162+BE166</f>
        <v>0</v>
      </c>
      <c r="BF133" s="944">
        <f>+BF134+BF140+BF144+BF148+BF152+BF154+BF157+BF162+BF166</f>
        <v>0</v>
      </c>
      <c r="BG133" s="944">
        <f t="shared" si="81"/>
        <v>1528788601.0039999</v>
      </c>
      <c r="BH133" s="944">
        <f>+BH134+BH140+BH144+BH148+BH152+BH154+BH157+BH162+BH166</f>
        <v>721033994</v>
      </c>
      <c r="BI133" s="944">
        <f>+BH133/BG133*100</f>
        <v>47.163747396237518</v>
      </c>
      <c r="BJ133" s="944">
        <f>+BJ134+BJ140+BJ144+BJ148+BJ152+BJ154+BJ157+BJ162+BJ166</f>
        <v>292169871</v>
      </c>
      <c r="BK133" s="944">
        <f>+BJ133/BG133*100</f>
        <v>19.111201562343123</v>
      </c>
      <c r="BL133" s="944">
        <f>+BL134+BL140+BL144+BL148+BL152+BL154+BL157+BL162+BL166</f>
        <v>292169871</v>
      </c>
      <c r="BM133" s="944">
        <f>+BL133/BG133*100</f>
        <v>19.111201562343123</v>
      </c>
      <c r="BN133" s="988">
        <f>+BN134+BN140+BN144+BN148+BN152+BN154+BN157+BN162+BN166</f>
        <v>1377234869</v>
      </c>
      <c r="BO133" s="988">
        <f>+BO134+BO140+BO144+BO148+BO152+BO154+BO157+BO162+BO166</f>
        <v>0</v>
      </c>
      <c r="BP133" s="988">
        <f>+BP134+BP140+BP144+BP148+BP152+BP154+BP157+BP162+BP166</f>
        <v>0</v>
      </c>
      <c r="BQ133" s="988">
        <f t="shared" si="78"/>
        <v>1377234869</v>
      </c>
      <c r="BR133" s="988">
        <f>+BR134+BR140+BR144+BR148+BR152+BR154+BR157+BR162+BR166</f>
        <v>1386277037</v>
      </c>
      <c r="BS133" s="988">
        <f>+BS134+BS140+BS144+BS148+BS152+BS154+BS157+BS162+BS166</f>
        <v>0</v>
      </c>
      <c r="BT133" s="988">
        <f>+BT134+BT140+BT144+BT148+BT152+BT154+BT157+BT162+BT166</f>
        <v>0</v>
      </c>
      <c r="BU133" s="988">
        <f t="shared" si="79"/>
        <v>1386277037</v>
      </c>
      <c r="BV133" s="988">
        <f>+BV134+BV140+BV144+BV148+BV152+BV154+BV157+BV162+BV166</f>
        <v>1597785646</v>
      </c>
      <c r="BW133" s="988">
        <f>+BW134+BW140+BW144+BW148+BW152+BW154+BW157+BW162+BW166</f>
        <v>0</v>
      </c>
      <c r="BX133" s="988">
        <f>+BX134+BX140+BX144+BX148+BX152+BX154+BX157+BX162+BX166</f>
        <v>0</v>
      </c>
      <c r="BY133" s="988">
        <f t="shared" si="80"/>
        <v>1597785646</v>
      </c>
      <c r="BZ133" s="989">
        <f>+AW133+BG133+BU133+BY133</f>
        <v>6339061920.0039997</v>
      </c>
      <c r="CA133" s="989">
        <f>+CA134+CA140+CA144+CA148+CA152+CA154+CA157+CA162+CA166</f>
        <v>2058904703</v>
      </c>
      <c r="CB133" s="990">
        <f>+CA133/BZ133*100</f>
        <v>32.479643344431963</v>
      </c>
      <c r="CC133" s="698"/>
      <c r="CD133" s="687"/>
      <c r="CE133" s="334" t="e">
        <f>+BZ133/#REF!*100</f>
        <v>#REF!</v>
      </c>
      <c r="CF133" s="404"/>
      <c r="CL133" s="660"/>
      <c r="CX133" s="911">
        <f t="shared" si="24"/>
        <v>151553732.00399995</v>
      </c>
      <c r="CY133" s="1008"/>
      <c r="DA133" s="3"/>
      <c r="DB133" s="7">
        <f>518+444</f>
        <v>962</v>
      </c>
    </row>
    <row r="134" spans="1:107" s="815" customFormat="1" ht="60" customHeight="1" x14ac:dyDescent="0.2">
      <c r="A134" s="819" t="s">
        <v>21</v>
      </c>
      <c r="C134" s="817"/>
      <c r="D134" s="817"/>
      <c r="E134" s="816"/>
      <c r="F134" s="817"/>
      <c r="G134" s="817"/>
      <c r="H134" s="817"/>
      <c r="I134" s="817"/>
      <c r="J134" s="819" t="s">
        <v>865</v>
      </c>
      <c r="K134" s="819"/>
      <c r="L134" s="833">
        <v>20</v>
      </c>
      <c r="M134" s="833">
        <v>20</v>
      </c>
      <c r="N134" s="833">
        <v>20</v>
      </c>
      <c r="O134" s="833">
        <v>20</v>
      </c>
      <c r="P134" s="819"/>
      <c r="Q134" s="819"/>
      <c r="R134" s="819"/>
      <c r="S134" s="819"/>
      <c r="T134" s="819"/>
      <c r="U134" s="819"/>
      <c r="V134" s="820"/>
      <c r="W134" s="1087"/>
      <c r="X134" s="1087"/>
      <c r="Y134" s="1087">
        <f>(((Y135+Y137+Y138)*AL134)/100)</f>
        <v>20</v>
      </c>
      <c r="Z134" s="878"/>
      <c r="AA134" s="878">
        <f>((((AA135+AA137+AA138)/3)*AL134)/100)</f>
        <v>6.0666666666666664</v>
      </c>
      <c r="AB134" s="757"/>
      <c r="AC134" s="1203"/>
      <c r="AD134" s="1221">
        <f>(((AD136+AD137/2)*AM134)/100)</f>
        <v>4.5</v>
      </c>
      <c r="AE134" s="1203"/>
      <c r="AF134" s="1221">
        <f>(AF136+AF137)/2</f>
        <v>62.5</v>
      </c>
      <c r="AG134" s="1203"/>
      <c r="AH134" s="1203"/>
      <c r="AI134" s="1203"/>
      <c r="AJ134" s="1203"/>
      <c r="AK134" s="1203">
        <f>((AK135+AK137+AK138)/3)</f>
        <v>75</v>
      </c>
      <c r="AL134" s="1203">
        <f>+L134</f>
        <v>20</v>
      </c>
      <c r="AM134" s="1203">
        <v>20</v>
      </c>
      <c r="AN134" s="1203"/>
      <c r="AO134" s="821">
        <f>SUM(AO135:AO139)</f>
        <v>230000000</v>
      </c>
      <c r="AP134" s="821">
        <f>SUM(AP135:AP139)</f>
        <v>0</v>
      </c>
      <c r="AQ134" s="821">
        <f t="shared" si="73"/>
        <v>230000000</v>
      </c>
      <c r="AR134" s="822">
        <f>SUM(AR135:AR139)</f>
        <v>240000000</v>
      </c>
      <c r="AS134" s="822"/>
      <c r="AT134" s="822">
        <f>+AT135</f>
        <v>240000000</v>
      </c>
      <c r="AU134" s="823">
        <f>SUM(AU135:AU139)</f>
        <v>240000000</v>
      </c>
      <c r="AV134" s="823">
        <f>SUM(AV135:AV139)</f>
        <v>0</v>
      </c>
      <c r="AW134" s="823">
        <f t="shared" si="74"/>
        <v>240000000</v>
      </c>
      <c r="AX134" s="824">
        <f>SUM(AX135:AX139)</f>
        <v>208640978</v>
      </c>
      <c r="AY134" s="825">
        <f t="shared" si="75"/>
        <v>86.933740833333331</v>
      </c>
      <c r="AZ134" s="826">
        <f>SUM(AZ135:AZ139)</f>
        <v>186346552</v>
      </c>
      <c r="BA134" s="825">
        <f t="shared" si="76"/>
        <v>77.644396666666665</v>
      </c>
      <c r="BB134" s="826">
        <f>SUM(BB135:BB139)</f>
        <v>186346552</v>
      </c>
      <c r="BC134" s="825">
        <f t="shared" si="77"/>
        <v>77.644396666666665</v>
      </c>
      <c r="BD134" s="947">
        <f>SUM(BD135:BD139)</f>
        <v>171289973.00400001</v>
      </c>
      <c r="BE134" s="947">
        <f>SUM(BE135:BE139)</f>
        <v>0</v>
      </c>
      <c r="BF134" s="947">
        <f>SUM(BF135:BF139)</f>
        <v>0</v>
      </c>
      <c r="BG134" s="947">
        <f t="shared" si="81"/>
        <v>171289973.00400001</v>
      </c>
      <c r="BH134" s="947">
        <f>SUM(BH135:BH139)</f>
        <v>120381508</v>
      </c>
      <c r="BI134" s="947">
        <f>+BH134/BG134*100</f>
        <v>70.279366555325922</v>
      </c>
      <c r="BJ134" s="947">
        <f>SUM(BJ135:BJ139)</f>
        <v>62041508</v>
      </c>
      <c r="BK134" s="947">
        <f>+BJ134/BG134*100</f>
        <v>36.220163335860406</v>
      </c>
      <c r="BL134" s="947">
        <f>SUM(BL135:BL139)</f>
        <v>62041508</v>
      </c>
      <c r="BM134" s="947">
        <f>+BL134/BG134*100</f>
        <v>36.220163335860406</v>
      </c>
      <c r="BN134" s="947">
        <f>SUM(BN135:BN139)</f>
        <v>161700000</v>
      </c>
      <c r="BO134" s="947">
        <f>SUM(BO135:BO139)</f>
        <v>0</v>
      </c>
      <c r="BP134" s="947">
        <f>SUM(BP135:BP139)</f>
        <v>0</v>
      </c>
      <c r="BQ134" s="947">
        <f t="shared" si="78"/>
        <v>161700000</v>
      </c>
      <c r="BR134" s="947">
        <f>SUM(BR135:BR139)</f>
        <v>163000000</v>
      </c>
      <c r="BS134" s="947">
        <f>SUM(BS135:BS139)</f>
        <v>0</v>
      </c>
      <c r="BT134" s="947">
        <f>SUM(BT135:BT139)</f>
        <v>0</v>
      </c>
      <c r="BU134" s="947">
        <f t="shared" si="79"/>
        <v>163000000</v>
      </c>
      <c r="BV134" s="947">
        <f>SUM(BV135:BV139)</f>
        <v>165000000</v>
      </c>
      <c r="BW134" s="947">
        <f>SUM(BW135:BW139)</f>
        <v>0</v>
      </c>
      <c r="BX134" s="947">
        <f>SUM(BX135:BX139)</f>
        <v>0</v>
      </c>
      <c r="BY134" s="947">
        <f t="shared" si="80"/>
        <v>165000000</v>
      </c>
      <c r="BZ134" s="948">
        <f>SUM(BZ135:BZ139)</f>
        <v>739289973.00399995</v>
      </c>
      <c r="CA134" s="948">
        <f>SUM(CA135:CA139)</f>
        <v>329022486</v>
      </c>
      <c r="CB134" s="949">
        <f>+CA134/BZ134*100</f>
        <v>44.505200667481503</v>
      </c>
      <c r="CC134" s="827"/>
      <c r="CD134" s="825"/>
      <c r="CE134" s="828"/>
      <c r="CF134" s="834">
        <f>SUM(BZ135:BZ139)</f>
        <v>739289973.00399995</v>
      </c>
      <c r="CG134" s="829">
        <v>10000000</v>
      </c>
      <c r="CL134" s="821"/>
      <c r="CX134" s="911">
        <f t="shared" si="24"/>
        <v>9589973.0040000081</v>
      </c>
      <c r="CY134" s="1009"/>
      <c r="DA134" s="846"/>
    </row>
    <row r="135" spans="1:107" s="64" customFormat="1" ht="112.5" hidden="1" x14ac:dyDescent="0.2">
      <c r="A135" s="18" t="s">
        <v>22</v>
      </c>
      <c r="C135" s="525"/>
      <c r="D135" s="525"/>
      <c r="E135" s="524"/>
      <c r="F135" s="525"/>
      <c r="G135" s="525"/>
      <c r="H135" s="525"/>
      <c r="I135" s="525"/>
      <c r="J135" s="1565"/>
      <c r="K135" s="1568" t="s">
        <v>421</v>
      </c>
      <c r="L135" s="636"/>
      <c r="M135" s="552"/>
      <c r="N135" s="552"/>
      <c r="O135" s="552"/>
      <c r="P135" s="16" t="s">
        <v>365</v>
      </c>
      <c r="Q135" s="548">
        <v>40</v>
      </c>
      <c r="R135" s="548"/>
      <c r="S135" s="548"/>
      <c r="T135" s="548"/>
      <c r="U135" s="16" t="s">
        <v>366</v>
      </c>
      <c r="V135" s="744" t="s">
        <v>137</v>
      </c>
      <c r="W135" s="804">
        <v>1</v>
      </c>
      <c r="X135" s="804">
        <v>1</v>
      </c>
      <c r="Y135" s="1089">
        <v>40</v>
      </c>
      <c r="Z135" s="881" t="s">
        <v>909</v>
      </c>
      <c r="AA135" s="880">
        <f>+Y135</f>
        <v>40</v>
      </c>
      <c r="AB135" s="223"/>
      <c r="AC135" s="214"/>
      <c r="AD135" s="901"/>
      <c r="AE135" s="872" t="s">
        <v>1153</v>
      </c>
      <c r="AF135" s="214"/>
      <c r="AG135" s="223"/>
      <c r="AH135" s="223"/>
      <c r="AI135" s="553">
        <f>(W135+AB135+AG135+AH135)</f>
        <v>1</v>
      </c>
      <c r="AJ135" s="1098">
        <f>+X135+AC135</f>
        <v>1</v>
      </c>
      <c r="AK135" s="541">
        <f>+AJ135/AI135*100</f>
        <v>100</v>
      </c>
      <c r="AL135" s="892">
        <v>40</v>
      </c>
      <c r="AM135" s="898"/>
      <c r="AN135" s="506"/>
      <c r="AO135" s="183">
        <v>120000000</v>
      </c>
      <c r="AP135" s="183"/>
      <c r="AQ135" s="183">
        <f t="shared" si="73"/>
        <v>120000000</v>
      </c>
      <c r="AR135" s="1574">
        <v>240000000</v>
      </c>
      <c r="AS135" s="1574"/>
      <c r="AT135" s="1574">
        <f>+AR135+AS135</f>
        <v>240000000</v>
      </c>
      <c r="AU135" s="1419">
        <v>240000000</v>
      </c>
      <c r="AV135" s="1419"/>
      <c r="AW135" s="1419">
        <f t="shared" si="74"/>
        <v>240000000</v>
      </c>
      <c r="AX135" s="1413">
        <v>208640978</v>
      </c>
      <c r="AY135" s="1407">
        <f t="shared" si="75"/>
        <v>86.933740833333331</v>
      </c>
      <c r="AZ135" s="1547">
        <v>186346552</v>
      </c>
      <c r="BA135" s="1550">
        <f t="shared" si="76"/>
        <v>77.644396666666665</v>
      </c>
      <c r="BB135" s="1553">
        <v>186346552</v>
      </c>
      <c r="BC135" s="1556">
        <f t="shared" si="77"/>
        <v>77.644396666666665</v>
      </c>
      <c r="BD135" s="1031">
        <v>0</v>
      </c>
      <c r="BE135" s="1031"/>
      <c r="BF135" s="1031"/>
      <c r="BG135" s="1031">
        <f t="shared" si="81"/>
        <v>0</v>
      </c>
      <c r="BH135" s="997">
        <v>0</v>
      </c>
      <c r="BI135" s="997">
        <v>0</v>
      </c>
      <c r="BJ135" s="997">
        <v>0</v>
      </c>
      <c r="BK135" s="997">
        <v>0</v>
      </c>
      <c r="BL135" s="997">
        <v>0</v>
      </c>
      <c r="BM135" s="997">
        <v>0</v>
      </c>
      <c r="BN135" s="964"/>
      <c r="BO135" s="964"/>
      <c r="BP135" s="964"/>
      <c r="BQ135" s="964">
        <f t="shared" si="78"/>
        <v>0</v>
      </c>
      <c r="BR135" s="964">
        <v>0</v>
      </c>
      <c r="BS135" s="964"/>
      <c r="BT135" s="964"/>
      <c r="BU135" s="964">
        <f t="shared" si="79"/>
        <v>0</v>
      </c>
      <c r="BV135" s="964">
        <v>0</v>
      </c>
      <c r="BW135" s="964"/>
      <c r="BX135" s="964"/>
      <c r="BY135" s="964">
        <f t="shared" si="80"/>
        <v>0</v>
      </c>
      <c r="BZ135" s="967">
        <f>10000000+BG135+BU135+BY135+AQ135</f>
        <v>130000000</v>
      </c>
      <c r="CA135" s="1401">
        <f>+AX135+BH135+BH136+BH137+BH138</f>
        <v>329022486</v>
      </c>
      <c r="CB135" s="1434">
        <f>+CA135/(SUM(BZ135:BZ139))*100</f>
        <v>44.505200667481503</v>
      </c>
      <c r="CC135" s="1436" t="s">
        <v>903</v>
      </c>
      <c r="CD135" s="1740" t="s">
        <v>1176</v>
      </c>
      <c r="CE135" s="528"/>
      <c r="CF135" s="528"/>
      <c r="CG135" s="529"/>
      <c r="CL135" s="517"/>
      <c r="CM135" s="637"/>
      <c r="CX135" s="911">
        <f t="shared" ref="CX135:CX192" si="82">+BD135-BN135</f>
        <v>0</v>
      </c>
      <c r="CY135" s="1011"/>
    </row>
    <row r="136" spans="1:107" s="64" customFormat="1" ht="78.75" x14ac:dyDescent="0.2">
      <c r="A136" s="18"/>
      <c r="C136" s="525"/>
      <c r="D136" s="525"/>
      <c r="E136" s="524"/>
      <c r="F136" s="525"/>
      <c r="G136" s="525"/>
      <c r="H136" s="525"/>
      <c r="I136" s="525"/>
      <c r="J136" s="1566"/>
      <c r="K136" s="1569"/>
      <c r="L136" s="638"/>
      <c r="M136" s="574"/>
      <c r="N136" s="574"/>
      <c r="O136" s="574"/>
      <c r="P136" s="16" t="s">
        <v>367</v>
      </c>
      <c r="Q136" s="548"/>
      <c r="R136" s="548">
        <v>20</v>
      </c>
      <c r="S136" s="548">
        <v>20</v>
      </c>
      <c r="T136" s="548">
        <v>20</v>
      </c>
      <c r="U136" s="16" t="s">
        <v>392</v>
      </c>
      <c r="V136" s="1155" t="s">
        <v>137</v>
      </c>
      <c r="W136" s="223"/>
      <c r="X136" s="223"/>
      <c r="Y136" s="1302"/>
      <c r="Z136" s="1121"/>
      <c r="AA136" s="1302"/>
      <c r="AB136" s="223">
        <v>8</v>
      </c>
      <c r="AC136" s="223">
        <v>6</v>
      </c>
      <c r="AD136" s="223">
        <f>(((AC136/AB136*100)*AM136)/100)</f>
        <v>22.5</v>
      </c>
      <c r="AE136" s="1121" t="s">
        <v>1209</v>
      </c>
      <c r="AF136" s="223">
        <v>75</v>
      </c>
      <c r="AG136" s="223">
        <v>8</v>
      </c>
      <c r="AH136" s="223">
        <v>8</v>
      </c>
      <c r="AI136" s="553">
        <f>(W136+AB136+AG136+AH136)</f>
        <v>24</v>
      </c>
      <c r="AJ136" s="541">
        <f>+X136+AC136</f>
        <v>6</v>
      </c>
      <c r="AK136" s="541">
        <f>+AJ136/AI136*100</f>
        <v>25</v>
      </c>
      <c r="AL136" s="1342"/>
      <c r="AM136" s="1342">
        <v>30</v>
      </c>
      <c r="AN136" s="506"/>
      <c r="AO136" s="183"/>
      <c r="AP136" s="183"/>
      <c r="AQ136" s="183"/>
      <c r="AR136" s="1575"/>
      <c r="AS136" s="1575"/>
      <c r="AT136" s="1575"/>
      <c r="AU136" s="1420"/>
      <c r="AV136" s="1420"/>
      <c r="AW136" s="1420"/>
      <c r="AX136" s="1414"/>
      <c r="AY136" s="1408" t="e">
        <f>+AX136/AR136*100</f>
        <v>#DIV/0!</v>
      </c>
      <c r="AZ136" s="1548"/>
      <c r="BA136" s="1551" t="e">
        <f>+AZ136/AT136*100</f>
        <v>#DIV/0!</v>
      </c>
      <c r="BB136" s="1554"/>
      <c r="BC136" s="1557" t="e">
        <f>+BB136/AY136*100</f>
        <v>#DIV/0!</v>
      </c>
      <c r="BD136" s="1031">
        <f>40969356.5+9589973</f>
        <v>50559329.5</v>
      </c>
      <c r="BE136" s="998"/>
      <c r="BF136" s="971"/>
      <c r="BG136" s="1031">
        <f t="shared" si="81"/>
        <v>50559329.5</v>
      </c>
      <c r="BH136" s="997">
        <v>35472000</v>
      </c>
      <c r="BI136" s="997">
        <f>+BH136/BG136*100</f>
        <v>70.159158261780348</v>
      </c>
      <c r="BJ136" s="997">
        <v>19714508</v>
      </c>
      <c r="BK136" s="997">
        <f>+BJ136/BG136*100</f>
        <v>38.992819317352698</v>
      </c>
      <c r="BL136" s="997">
        <v>19714508</v>
      </c>
      <c r="BM136" s="997">
        <f>+BL136/BG136*100</f>
        <v>38.992819317352698</v>
      </c>
      <c r="BN136" s="964">
        <v>50000000</v>
      </c>
      <c r="BO136" s="998"/>
      <c r="BP136" s="971"/>
      <c r="BQ136" s="964">
        <f t="shared" si="78"/>
        <v>50000000</v>
      </c>
      <c r="BR136" s="964">
        <v>50000000</v>
      </c>
      <c r="BS136" s="964"/>
      <c r="BT136" s="964"/>
      <c r="BU136" s="964">
        <f t="shared" si="79"/>
        <v>50000000</v>
      </c>
      <c r="BV136" s="964">
        <v>50000000</v>
      </c>
      <c r="BW136" s="964"/>
      <c r="BX136" s="964"/>
      <c r="BY136" s="964">
        <f t="shared" si="80"/>
        <v>50000000</v>
      </c>
      <c r="BZ136" s="967">
        <f>+BG136+BU136+BY136+AQ136</f>
        <v>150559329.5</v>
      </c>
      <c r="CA136" s="1402"/>
      <c r="CB136" s="1435" t="e">
        <f>+CA136/BX136*100</f>
        <v>#DIV/0!</v>
      </c>
      <c r="CC136" s="1437"/>
      <c r="CD136" s="1741"/>
      <c r="CE136" s="528"/>
      <c r="CF136" s="528"/>
      <c r="CG136" s="529"/>
      <c r="CL136" s="522"/>
      <c r="CX136" s="911">
        <f t="shared" si="82"/>
        <v>559329.5</v>
      </c>
      <c r="CY136" s="1055"/>
      <c r="CZ136" s="1056"/>
      <c r="DA136" s="1105"/>
    </row>
    <row r="137" spans="1:107" s="64" customFormat="1" ht="101.25" x14ac:dyDescent="0.2">
      <c r="A137" s="16" t="s">
        <v>23</v>
      </c>
      <c r="C137" s="525"/>
      <c r="D137" s="525"/>
      <c r="E137" s="524"/>
      <c r="F137" s="525"/>
      <c r="G137" s="525"/>
      <c r="H137" s="525"/>
      <c r="I137" s="525"/>
      <c r="J137" s="1566"/>
      <c r="K137" s="1569"/>
      <c r="L137" s="638"/>
      <c r="M137" s="574"/>
      <c r="N137" s="574"/>
      <c r="O137" s="574"/>
      <c r="P137" s="16" t="s">
        <v>429</v>
      </c>
      <c r="Q137" s="548">
        <v>30</v>
      </c>
      <c r="R137" s="548">
        <v>60</v>
      </c>
      <c r="S137" s="548">
        <v>60</v>
      </c>
      <c r="T137" s="548">
        <v>60</v>
      </c>
      <c r="U137" s="16" t="s">
        <v>368</v>
      </c>
      <c r="V137" s="1155" t="s">
        <v>137</v>
      </c>
      <c r="W137" s="223">
        <v>1</v>
      </c>
      <c r="X137" s="223">
        <v>1</v>
      </c>
      <c r="Y137" s="1302">
        <v>30</v>
      </c>
      <c r="Z137" s="1121" t="s">
        <v>1084</v>
      </c>
      <c r="AA137" s="1302">
        <v>50</v>
      </c>
      <c r="AB137" s="223">
        <v>1</v>
      </c>
      <c r="AC137" s="223">
        <v>0</v>
      </c>
      <c r="AD137" s="223">
        <f>(((AC137/AB137*100)*AM137)/100)</f>
        <v>0</v>
      </c>
      <c r="AE137" s="1121" t="s">
        <v>1208</v>
      </c>
      <c r="AF137" s="223">
        <v>50</v>
      </c>
      <c r="AG137" s="223">
        <v>1</v>
      </c>
      <c r="AH137" s="223">
        <v>1</v>
      </c>
      <c r="AI137" s="746">
        <v>1</v>
      </c>
      <c r="AJ137" s="1136">
        <f>+X137+AC137</f>
        <v>1</v>
      </c>
      <c r="AK137" s="541">
        <f>25</f>
        <v>25</v>
      </c>
      <c r="AL137" s="1342">
        <v>30</v>
      </c>
      <c r="AM137" s="1342">
        <v>70</v>
      </c>
      <c r="AN137" s="506"/>
      <c r="AO137" s="183">
        <v>85000000</v>
      </c>
      <c r="AP137" s="183"/>
      <c r="AQ137" s="183">
        <f>SUM(AO137:AP137)</f>
        <v>85000000</v>
      </c>
      <c r="AR137" s="1575"/>
      <c r="AS137" s="1575"/>
      <c r="AT137" s="1575"/>
      <c r="AU137" s="1420"/>
      <c r="AV137" s="1420"/>
      <c r="AW137" s="1420"/>
      <c r="AX137" s="1414"/>
      <c r="AY137" s="1408" t="e">
        <f>+AX137/AR137*100</f>
        <v>#DIV/0!</v>
      </c>
      <c r="AZ137" s="1548"/>
      <c r="BA137" s="1551" t="e">
        <f>+AZ137/AT137*100</f>
        <v>#DIV/0!</v>
      </c>
      <c r="BB137" s="1554"/>
      <c r="BC137" s="1557" t="e">
        <f>+BB137/AY137*100</f>
        <v>#DIV/0!</v>
      </c>
      <c r="BD137" s="1031">
        <v>96243566.503999993</v>
      </c>
      <c r="BE137" s="1031"/>
      <c r="BF137" s="1031"/>
      <c r="BG137" s="1031">
        <f t="shared" si="81"/>
        <v>96243566.503999993</v>
      </c>
      <c r="BH137" s="1031">
        <v>67173508</v>
      </c>
      <c r="BI137" s="1031">
        <f>+BH137/BG137*100</f>
        <v>69.795322887590814</v>
      </c>
      <c r="BJ137" s="1034">
        <v>33459000</v>
      </c>
      <c r="BK137" s="1031">
        <f>+BJ137/BG137*100</f>
        <v>34.764921142660903</v>
      </c>
      <c r="BL137" s="1034">
        <v>33459000</v>
      </c>
      <c r="BM137" s="964">
        <f>+BL137/BG137*100</f>
        <v>34.764921142660903</v>
      </c>
      <c r="BN137" s="964">
        <f>+ROUND(AO137*0.02,0)+AO137</f>
        <v>86700000</v>
      </c>
      <c r="BO137" s="964"/>
      <c r="BP137" s="964"/>
      <c r="BQ137" s="964">
        <f t="shared" si="78"/>
        <v>86700000</v>
      </c>
      <c r="BR137" s="964">
        <v>88000000</v>
      </c>
      <c r="BS137" s="964"/>
      <c r="BT137" s="964"/>
      <c r="BU137" s="964">
        <f t="shared" si="79"/>
        <v>88000000</v>
      </c>
      <c r="BV137" s="964">
        <v>90000000</v>
      </c>
      <c r="BW137" s="964"/>
      <c r="BX137" s="964"/>
      <c r="BY137" s="964">
        <f t="shared" si="80"/>
        <v>90000000</v>
      </c>
      <c r="BZ137" s="967">
        <f>+BG137+BU137+BY137+AQ137</f>
        <v>359243566.50400001</v>
      </c>
      <c r="CA137" s="1402"/>
      <c r="CB137" s="1435" t="e">
        <f>+CA137/BX137*100</f>
        <v>#DIV/0!</v>
      </c>
      <c r="CC137" s="1437"/>
      <c r="CD137" s="1741"/>
      <c r="CE137" s="106"/>
      <c r="CF137" s="528"/>
      <c r="CG137" s="529"/>
      <c r="CL137" s="522"/>
      <c r="CX137" s="911">
        <f t="shared" si="82"/>
        <v>9543566.5039999932</v>
      </c>
      <c r="CY137" s="1011"/>
      <c r="DA137" s="1106"/>
    </row>
    <row r="138" spans="1:107" s="64" customFormat="1" ht="78.75" hidden="1" customHeight="1" x14ac:dyDescent="0.2">
      <c r="A138" s="1563" t="s">
        <v>24</v>
      </c>
      <c r="C138" s="525"/>
      <c r="D138" s="525"/>
      <c r="E138" s="524"/>
      <c r="F138" s="525"/>
      <c r="G138" s="525"/>
      <c r="H138" s="525"/>
      <c r="I138" s="525"/>
      <c r="J138" s="1566"/>
      <c r="K138" s="1569"/>
      <c r="L138" s="615"/>
      <c r="M138" s="520"/>
      <c r="N138" s="520"/>
      <c r="O138" s="520"/>
      <c r="P138" s="1449" t="s">
        <v>719</v>
      </c>
      <c r="Q138" s="1572">
        <v>30</v>
      </c>
      <c r="R138" s="1572">
        <v>20</v>
      </c>
      <c r="S138" s="1572">
        <v>20</v>
      </c>
      <c r="T138" s="1572">
        <v>20</v>
      </c>
      <c r="U138" s="16" t="s">
        <v>431</v>
      </c>
      <c r="V138" s="1155" t="s">
        <v>137</v>
      </c>
      <c r="W138" s="223">
        <v>1</v>
      </c>
      <c r="X138" s="223">
        <v>1</v>
      </c>
      <c r="Y138" s="1302">
        <v>30</v>
      </c>
      <c r="Z138" s="1121" t="s">
        <v>1085</v>
      </c>
      <c r="AA138" s="1302">
        <f>+X138</f>
        <v>1</v>
      </c>
      <c r="AB138" s="223"/>
      <c r="AC138" s="223"/>
      <c r="AD138" s="223"/>
      <c r="AE138" s="1121" t="s">
        <v>1153</v>
      </c>
      <c r="AF138" s="223"/>
      <c r="AG138" s="223"/>
      <c r="AH138" s="223"/>
      <c r="AI138" s="553">
        <f>(W138+AB138+AG138+AH138)</f>
        <v>1</v>
      </c>
      <c r="AJ138" s="1136">
        <f>+X138+AC138</f>
        <v>1</v>
      </c>
      <c r="AK138" s="541">
        <f>+AJ138/AI138*100</f>
        <v>100</v>
      </c>
      <c r="AL138" s="1342">
        <v>30</v>
      </c>
      <c r="AM138" s="1310">
        <v>20</v>
      </c>
      <c r="AN138" s="571"/>
      <c r="AO138" s="1529">
        <v>25000000</v>
      </c>
      <c r="AP138" s="1529"/>
      <c r="AQ138" s="1529">
        <f>SUM(AO138:AP138)</f>
        <v>25000000</v>
      </c>
      <c r="AR138" s="1575"/>
      <c r="AS138" s="1575"/>
      <c r="AT138" s="1575"/>
      <c r="AU138" s="1420"/>
      <c r="AV138" s="1420"/>
      <c r="AW138" s="1420"/>
      <c r="AX138" s="1414"/>
      <c r="AY138" s="1408" t="e">
        <f>+AX138/AR138*100</f>
        <v>#DIV/0!</v>
      </c>
      <c r="AZ138" s="1548"/>
      <c r="BA138" s="1551" t="e">
        <f>+AZ138/AT138*100</f>
        <v>#DIV/0!</v>
      </c>
      <c r="BB138" s="1554"/>
      <c r="BC138" s="1557" t="e">
        <f>+BB138/AY138*100</f>
        <v>#DIV/0!</v>
      </c>
      <c r="BD138" s="1388">
        <v>24487077</v>
      </c>
      <c r="BE138" s="1388"/>
      <c r="BF138" s="1388"/>
      <c r="BG138" s="1388">
        <f t="shared" si="81"/>
        <v>24487077</v>
      </c>
      <c r="BH138" s="1388">
        <v>17736000</v>
      </c>
      <c r="BI138" s="1388">
        <f>+BH138/BG138*100</f>
        <v>72.430041364267367</v>
      </c>
      <c r="BJ138" s="1388">
        <v>8868000</v>
      </c>
      <c r="BK138" s="1388">
        <f>+BJ138/BG138*100</f>
        <v>36.215020682133684</v>
      </c>
      <c r="BL138" s="1388">
        <v>8868000</v>
      </c>
      <c r="BM138" s="1388">
        <f>+BL138/BG138*100</f>
        <v>36.215020682133684</v>
      </c>
      <c r="BN138" s="1388">
        <v>25000000</v>
      </c>
      <c r="BO138" s="1388"/>
      <c r="BP138" s="1388"/>
      <c r="BQ138" s="1388">
        <f t="shared" si="78"/>
        <v>25000000</v>
      </c>
      <c r="BR138" s="1388">
        <v>25000000</v>
      </c>
      <c r="BS138" s="1388"/>
      <c r="BT138" s="1388"/>
      <c r="BU138" s="1388">
        <f t="shared" si="79"/>
        <v>25000000</v>
      </c>
      <c r="BV138" s="1388">
        <v>25000000</v>
      </c>
      <c r="BW138" s="1388"/>
      <c r="BX138" s="1388"/>
      <c r="BY138" s="1388">
        <f t="shared" si="80"/>
        <v>25000000</v>
      </c>
      <c r="BZ138" s="1401">
        <f>+BG138+BU138+BY138+AQ138</f>
        <v>99487077</v>
      </c>
      <c r="CA138" s="1402"/>
      <c r="CB138" s="1435" t="e">
        <f>+CA138/BX138*100</f>
        <v>#DIV/0!</v>
      </c>
      <c r="CC138" s="1437"/>
      <c r="CD138" s="1741"/>
      <c r="CE138" s="528"/>
      <c r="CF138" s="528"/>
      <c r="CG138" s="529"/>
      <c r="CL138" s="522"/>
      <c r="CX138" s="911">
        <f t="shared" si="82"/>
        <v>-512923</v>
      </c>
      <c r="CY138" s="1011"/>
      <c r="DA138" s="1106"/>
    </row>
    <row r="139" spans="1:107" ht="87.75" customHeight="1" x14ac:dyDescent="0.2">
      <c r="A139" s="1564"/>
      <c r="C139" s="154"/>
      <c r="D139" s="154"/>
      <c r="E139" s="390"/>
      <c r="F139" s="154"/>
      <c r="G139" s="154"/>
      <c r="H139" s="154"/>
      <c r="I139" s="154"/>
      <c r="J139" s="1567"/>
      <c r="K139" s="1570"/>
      <c r="L139" s="400"/>
      <c r="M139" s="236"/>
      <c r="N139" s="236"/>
      <c r="O139" s="236"/>
      <c r="P139" s="1571"/>
      <c r="Q139" s="1573"/>
      <c r="R139" s="1573"/>
      <c r="S139" s="1573"/>
      <c r="T139" s="1573"/>
      <c r="U139" s="16" t="s">
        <v>720</v>
      </c>
      <c r="V139" s="1151" t="s">
        <v>137</v>
      </c>
      <c r="W139" s="223"/>
      <c r="X139" s="223"/>
      <c r="Y139" s="1302"/>
      <c r="Z139" s="1121"/>
      <c r="AA139" s="1302"/>
      <c r="AB139" s="223">
        <v>0</v>
      </c>
      <c r="AC139" s="223">
        <v>0</v>
      </c>
      <c r="AD139" s="223"/>
      <c r="AE139" s="1121" t="s">
        <v>1161</v>
      </c>
      <c r="AF139" s="223">
        <v>0</v>
      </c>
      <c r="AG139" s="223">
        <v>1</v>
      </c>
      <c r="AH139" s="223">
        <v>1</v>
      </c>
      <c r="AI139" s="553">
        <f>(W139+AB139+AG139+AH139)</f>
        <v>2</v>
      </c>
      <c r="AJ139" s="1349"/>
      <c r="AK139" s="541">
        <f>+AJ139/AI139*100</f>
        <v>0</v>
      </c>
      <c r="AL139" s="1342"/>
      <c r="AM139" s="1316"/>
      <c r="AN139" s="575"/>
      <c r="AO139" s="1531"/>
      <c r="AP139" s="1531"/>
      <c r="AQ139" s="1531"/>
      <c r="AR139" s="1576"/>
      <c r="AS139" s="1576"/>
      <c r="AT139" s="1576"/>
      <c r="AU139" s="1421"/>
      <c r="AV139" s="1421"/>
      <c r="AW139" s="1421"/>
      <c r="AX139" s="1415"/>
      <c r="AY139" s="1409" t="e">
        <f>+AX139/AR139*100</f>
        <v>#DIV/0!</v>
      </c>
      <c r="AZ139" s="1549"/>
      <c r="BA139" s="1552" t="e">
        <f>+AZ139/AT139*100</f>
        <v>#DIV/0!</v>
      </c>
      <c r="BB139" s="1555"/>
      <c r="BC139" s="1558" t="e">
        <f>+BB139/AY139*100</f>
        <v>#DIV/0!</v>
      </c>
      <c r="BD139" s="1390"/>
      <c r="BE139" s="1390"/>
      <c r="BF139" s="1390"/>
      <c r="BG139" s="1390"/>
      <c r="BH139" s="1390"/>
      <c r="BI139" s="1390"/>
      <c r="BJ139" s="1390"/>
      <c r="BK139" s="1390"/>
      <c r="BL139" s="1390"/>
      <c r="BM139" s="1390"/>
      <c r="BN139" s="1390"/>
      <c r="BO139" s="1390"/>
      <c r="BP139" s="1390"/>
      <c r="BQ139" s="1390"/>
      <c r="BR139" s="1390"/>
      <c r="BS139" s="1390"/>
      <c r="BT139" s="1390"/>
      <c r="BU139" s="1390"/>
      <c r="BV139" s="1390"/>
      <c r="BW139" s="1390"/>
      <c r="BX139" s="1390"/>
      <c r="BY139" s="1390"/>
      <c r="BZ139" s="1403">
        <f>+AQ139+BQ139+BU139+BY139</f>
        <v>0</v>
      </c>
      <c r="CA139" s="1403"/>
      <c r="CB139" s="1438" t="e">
        <f>+CA139/BX139*100</f>
        <v>#DIV/0!</v>
      </c>
      <c r="CC139" s="1439"/>
      <c r="CD139" s="1742"/>
      <c r="CE139" s="193"/>
      <c r="CL139" s="518"/>
      <c r="CX139" s="911">
        <f t="shared" si="82"/>
        <v>0</v>
      </c>
      <c r="DA139" s="1106"/>
    </row>
    <row r="140" spans="1:107" s="815" customFormat="1" ht="68.25" customHeight="1" x14ac:dyDescent="0.2">
      <c r="A140" s="819" t="s">
        <v>25</v>
      </c>
      <c r="C140" s="848"/>
      <c r="D140" s="848"/>
      <c r="E140" s="832"/>
      <c r="F140" s="848"/>
      <c r="G140" s="848"/>
      <c r="H140" s="848"/>
      <c r="I140" s="848"/>
      <c r="J140" s="1205" t="s">
        <v>866</v>
      </c>
      <c r="K140" s="1205"/>
      <c r="L140" s="1209">
        <v>20</v>
      </c>
      <c r="M140" s="1209">
        <v>20</v>
      </c>
      <c r="N140" s="1209">
        <v>20</v>
      </c>
      <c r="O140" s="1209">
        <v>20</v>
      </c>
      <c r="P140" s="1205"/>
      <c r="Q140" s="1205"/>
      <c r="R140" s="1205"/>
      <c r="S140" s="1205"/>
      <c r="T140" s="1205"/>
      <c r="U140" s="1280"/>
      <c r="V140" s="1281"/>
      <c r="W140" s="1203"/>
      <c r="X140" s="1203"/>
      <c r="Y140" s="1211">
        <f>(((Y141+Y142)*AL140)/100)</f>
        <v>20</v>
      </c>
      <c r="Z140" s="1211"/>
      <c r="AA140" s="1211">
        <f>((((AA141+AA142)/2)*AL140)/100)</f>
        <v>10</v>
      </c>
      <c r="AB140" s="1211"/>
      <c r="AC140" s="1211"/>
      <c r="AD140" s="1211">
        <f>(((AD141+AD142)*AM140)/100)</f>
        <v>0</v>
      </c>
      <c r="AE140" s="1211"/>
      <c r="AF140" s="1211">
        <f>(AF141+AF142)/2</f>
        <v>50</v>
      </c>
      <c r="AG140" s="1211"/>
      <c r="AH140" s="1211"/>
      <c r="AI140" s="1211"/>
      <c r="AJ140" s="1211"/>
      <c r="AK140" s="1211">
        <f>((AK141+AK142)/2)</f>
        <v>25</v>
      </c>
      <c r="AL140" s="1211">
        <f>+L140</f>
        <v>20</v>
      </c>
      <c r="AM140" s="1211">
        <v>20</v>
      </c>
      <c r="AN140" s="1255"/>
      <c r="AO140" s="821">
        <f>SUM(AO141:AO143)</f>
        <v>134432040</v>
      </c>
      <c r="AP140" s="821">
        <f>SUM(AP141:AP143)</f>
        <v>0</v>
      </c>
      <c r="AQ140" s="821">
        <f t="shared" ref="AQ140:AQ163" si="83">SUM(AO140:AP140)</f>
        <v>134432040</v>
      </c>
      <c r="AR140" s="822">
        <f>+AR141</f>
        <v>259432040</v>
      </c>
      <c r="AS140" s="822">
        <f>+AS141</f>
        <v>0</v>
      </c>
      <c r="AT140" s="822">
        <f>+AT141</f>
        <v>259432040</v>
      </c>
      <c r="AU140" s="823">
        <f>SUM(AU141:AU143)</f>
        <v>339432040</v>
      </c>
      <c r="AV140" s="823">
        <f>SUM(AV141:AV143)</f>
        <v>0</v>
      </c>
      <c r="AW140" s="823">
        <f>SUM(AU140:AV140)</f>
        <v>339432040</v>
      </c>
      <c r="AX140" s="824">
        <f>+AX141</f>
        <v>303928275</v>
      </c>
      <c r="AY140" s="825">
        <f>+AX140/AW140*100</f>
        <v>89.54024346081178</v>
      </c>
      <c r="AZ140" s="826">
        <f>+AZ141</f>
        <v>95251289</v>
      </c>
      <c r="BA140" s="825">
        <f>+AZ140/AW140*100</f>
        <v>28.06196168163736</v>
      </c>
      <c r="BB140" s="826">
        <f>+BB141</f>
        <v>90251289</v>
      </c>
      <c r="BC140" s="825">
        <f>+BB140/AW140*100</f>
        <v>26.58891276144703</v>
      </c>
      <c r="BD140" s="947">
        <f>SUM(BD141:BD143)</f>
        <v>178366864</v>
      </c>
      <c r="BE140" s="947">
        <f>SUM(BE141:BE143)</f>
        <v>0</v>
      </c>
      <c r="BF140" s="947">
        <f>SUM(BF141:BF143)</f>
        <v>0</v>
      </c>
      <c r="BG140" s="947">
        <f t="shared" ref="BG140:BG163" si="84">SUM(BD140:BF140)</f>
        <v>178366864</v>
      </c>
      <c r="BH140" s="963">
        <f>SUM(BH141:BH143)</f>
        <v>59661300</v>
      </c>
      <c r="BI140" s="963">
        <f>+BH140/BG140*100</f>
        <v>33.448645483838298</v>
      </c>
      <c r="BJ140" s="963">
        <f>SUM(BJ141:BJ143)</f>
        <v>16753534</v>
      </c>
      <c r="BK140" s="963">
        <f>+BJ140/BG140*100</f>
        <v>9.3927390011185032</v>
      </c>
      <c r="BL140" s="947">
        <f>SUM(BL141:BL143)</f>
        <v>16753534</v>
      </c>
      <c r="BM140" s="963">
        <f>+BL140/BG140*100</f>
        <v>9.3927390011185032</v>
      </c>
      <c r="BN140" s="947">
        <f>SUM(BN141:BN143)</f>
        <v>186000000</v>
      </c>
      <c r="BO140" s="947">
        <f>SUM(BO141:BO143)</f>
        <v>0</v>
      </c>
      <c r="BP140" s="947">
        <f>SUM(BP141:BP143)</f>
        <v>0</v>
      </c>
      <c r="BQ140" s="947">
        <f t="shared" ref="BQ140:BQ163" si="85">SUM(BN140:BP140)</f>
        <v>186000000</v>
      </c>
      <c r="BR140" s="947">
        <f>SUM(BR141:BR143)</f>
        <v>224000000</v>
      </c>
      <c r="BS140" s="947">
        <f>SUM(BS141:BS143)</f>
        <v>0</v>
      </c>
      <c r="BT140" s="947">
        <f>SUM(BT141:BT143)</f>
        <v>0</v>
      </c>
      <c r="BU140" s="947">
        <f t="shared" ref="BU140:BU163" si="86">SUM(BR140:BT140)</f>
        <v>224000000</v>
      </c>
      <c r="BV140" s="947">
        <f>SUM(BV141:BV143)</f>
        <v>241000000</v>
      </c>
      <c r="BW140" s="947">
        <f>SUM(BW141:BW143)</f>
        <v>0</v>
      </c>
      <c r="BX140" s="947">
        <f>SUM(BX141:BX143)</f>
        <v>0</v>
      </c>
      <c r="BY140" s="947">
        <f t="shared" ref="BY140:BY163" si="87">SUM(BV140:BX140)</f>
        <v>241000000</v>
      </c>
      <c r="BZ140" s="948">
        <f>+BZ141+BZ142</f>
        <v>807798904</v>
      </c>
      <c r="CA140" s="948">
        <f>+CA141</f>
        <v>363589575</v>
      </c>
      <c r="CB140" s="949">
        <f>+CA140/BZ140*100</f>
        <v>45.009911897577915</v>
      </c>
      <c r="CC140" s="827"/>
      <c r="CD140" s="825"/>
      <c r="CE140" s="828"/>
      <c r="CF140" s="834">
        <f>SUM(BZ141:BZ143)</f>
        <v>902798904</v>
      </c>
      <c r="CG140" s="829">
        <v>125000000</v>
      </c>
      <c r="CL140" s="821"/>
      <c r="CX140" s="911">
        <f t="shared" si="82"/>
        <v>-7633136</v>
      </c>
      <c r="CY140" s="1009"/>
      <c r="DA140" s="846"/>
    </row>
    <row r="141" spans="1:107" s="64" customFormat="1" ht="123.75" customHeight="1" x14ac:dyDescent="0.2">
      <c r="A141" s="18" t="s">
        <v>26</v>
      </c>
      <c r="C141" s="525"/>
      <c r="D141" s="525"/>
      <c r="E141" s="524"/>
      <c r="F141" s="525"/>
      <c r="G141" s="525"/>
      <c r="H141" s="525"/>
      <c r="I141" s="525"/>
      <c r="J141" s="1544"/>
      <c r="K141" s="1503" t="s">
        <v>421</v>
      </c>
      <c r="L141" s="636"/>
      <c r="M141" s="552"/>
      <c r="N141" s="552"/>
      <c r="O141" s="552"/>
      <c r="P141" s="18" t="s">
        <v>796</v>
      </c>
      <c r="Q141" s="548">
        <v>60</v>
      </c>
      <c r="R141" s="548">
        <v>60</v>
      </c>
      <c r="S141" s="548">
        <v>50</v>
      </c>
      <c r="T141" s="639">
        <v>50</v>
      </c>
      <c r="U141" s="18" t="s">
        <v>797</v>
      </c>
      <c r="V141" s="562" t="s">
        <v>137</v>
      </c>
      <c r="W141" s="1332">
        <v>1</v>
      </c>
      <c r="X141" s="1332">
        <v>1</v>
      </c>
      <c r="Y141" s="1302">
        <f>(((X141/W141*100)*AL141)/100)</f>
        <v>60</v>
      </c>
      <c r="Z141" s="1350" t="s">
        <v>1086</v>
      </c>
      <c r="AA141" s="1351">
        <v>50</v>
      </c>
      <c r="AB141" s="223">
        <v>1</v>
      </c>
      <c r="AC141" s="223">
        <v>0</v>
      </c>
      <c r="AD141" s="223">
        <f>(((AC141/AB141*100)*AM141)/100)</f>
        <v>0</v>
      </c>
      <c r="AE141" s="1121" t="s">
        <v>1210</v>
      </c>
      <c r="AF141" s="223">
        <v>50</v>
      </c>
      <c r="AG141" s="223">
        <v>1</v>
      </c>
      <c r="AH141" s="223">
        <v>1</v>
      </c>
      <c r="AI141" s="746">
        <v>1</v>
      </c>
      <c r="AJ141" s="1136">
        <f>+X141+AC141</f>
        <v>1</v>
      </c>
      <c r="AK141" s="541">
        <f>25</f>
        <v>25</v>
      </c>
      <c r="AL141" s="1342">
        <v>60</v>
      </c>
      <c r="AM141" s="1342">
        <v>60</v>
      </c>
      <c r="AN141" s="506"/>
      <c r="AO141" s="183">
        <v>62037176</v>
      </c>
      <c r="AP141" s="183"/>
      <c r="AQ141" s="183">
        <f t="shared" si="83"/>
        <v>62037176</v>
      </c>
      <c r="AR141" s="1426">
        <v>259432040</v>
      </c>
      <c r="AS141" s="1426"/>
      <c r="AT141" s="1426">
        <f>+AR141+AS141</f>
        <v>259432040</v>
      </c>
      <c r="AU141" s="1419">
        <v>339432040</v>
      </c>
      <c r="AV141" s="1419"/>
      <c r="AW141" s="1419">
        <f>+AV141+AU141</f>
        <v>339432040</v>
      </c>
      <c r="AX141" s="1413">
        <v>303928275</v>
      </c>
      <c r="AY141" s="1407">
        <f>+AX141/AW141*100</f>
        <v>89.54024346081178</v>
      </c>
      <c r="AZ141" s="1404">
        <v>95251289</v>
      </c>
      <c r="BA141" s="1407">
        <f>+AZ141/AW141*100</f>
        <v>28.06196168163736</v>
      </c>
      <c r="BB141" s="1404">
        <v>90251289</v>
      </c>
      <c r="BC141" s="1407">
        <f>+BB141/AW141*100</f>
        <v>26.58891276144703</v>
      </c>
      <c r="BD141" s="999">
        <f>62798737-2803985</f>
        <v>59994752</v>
      </c>
      <c r="BE141" s="1031"/>
      <c r="BF141" s="1031"/>
      <c r="BG141" s="1031">
        <f t="shared" si="84"/>
        <v>59994752</v>
      </c>
      <c r="BH141" s="997">
        <v>13454500</v>
      </c>
      <c r="BI141" s="997">
        <f>+BH141/BG141*100</f>
        <v>22.42612820534703</v>
      </c>
      <c r="BJ141" s="997">
        <v>152500</v>
      </c>
      <c r="BK141" s="997">
        <f>+BJ141/BG141*100</f>
        <v>0.25418889972242903</v>
      </c>
      <c r="BL141" s="997">
        <v>152500</v>
      </c>
      <c r="BM141" s="997">
        <f>+BL141/BG141*100</f>
        <v>0.25418889972242903</v>
      </c>
      <c r="BN141" s="999">
        <v>63000000</v>
      </c>
      <c r="BO141" s="964"/>
      <c r="BP141" s="964"/>
      <c r="BQ141" s="964">
        <f t="shared" si="85"/>
        <v>63000000</v>
      </c>
      <c r="BR141" s="964">
        <v>64000000</v>
      </c>
      <c r="BS141" s="964"/>
      <c r="BT141" s="964"/>
      <c r="BU141" s="964">
        <f t="shared" si="86"/>
        <v>64000000</v>
      </c>
      <c r="BV141" s="964">
        <v>65000000</v>
      </c>
      <c r="BW141" s="964"/>
      <c r="BX141" s="964"/>
      <c r="BY141" s="964">
        <f t="shared" si="87"/>
        <v>65000000</v>
      </c>
      <c r="BZ141" s="967">
        <f>15000000+BG141+BU141+BY141+AQ141</f>
        <v>266031928</v>
      </c>
      <c r="CA141" s="1401">
        <f>+BH141+AX141+BH142</f>
        <v>363589575</v>
      </c>
      <c r="CB141" s="1434">
        <f>+CA141/(BZ141+BZ142)*100</f>
        <v>45.009911897577915</v>
      </c>
      <c r="CC141" s="1436" t="s">
        <v>1005</v>
      </c>
      <c r="CD141" s="1740" t="s">
        <v>1193</v>
      </c>
      <c r="CE141" s="528"/>
      <c r="CF141" s="528"/>
      <c r="CG141" s="529"/>
      <c r="CL141" s="517">
        <v>80000000</v>
      </c>
      <c r="CX141" s="911">
        <f t="shared" si="82"/>
        <v>-3005248</v>
      </c>
      <c r="CY141" s="1057"/>
      <c r="CZ141" s="1050"/>
      <c r="DA141" s="1105"/>
      <c r="DB141" s="530"/>
      <c r="DC141" s="530"/>
    </row>
    <row r="142" spans="1:107" s="64" customFormat="1" ht="180" x14ac:dyDescent="0.2">
      <c r="A142" s="16" t="s">
        <v>27</v>
      </c>
      <c r="C142" s="525"/>
      <c r="D142" s="525"/>
      <c r="E142" s="524"/>
      <c r="F142" s="525"/>
      <c r="G142" s="525"/>
      <c r="H142" s="525"/>
      <c r="I142" s="525"/>
      <c r="J142" s="1545"/>
      <c r="K142" s="1504"/>
      <c r="L142" s="615"/>
      <c r="M142" s="520"/>
      <c r="N142" s="520"/>
      <c r="O142" s="520"/>
      <c r="P142" s="16" t="s">
        <v>395</v>
      </c>
      <c r="Q142" s="640">
        <v>40</v>
      </c>
      <c r="R142" s="640">
        <v>40</v>
      </c>
      <c r="S142" s="640">
        <v>30</v>
      </c>
      <c r="T142" s="640">
        <v>30</v>
      </c>
      <c r="U142" s="1144" t="s">
        <v>396</v>
      </c>
      <c r="V142" s="747" t="s">
        <v>137</v>
      </c>
      <c r="W142" s="223">
        <v>1</v>
      </c>
      <c r="X142" s="223">
        <v>1</v>
      </c>
      <c r="Y142" s="1302">
        <f>(((X142/W142*100)*AL142)/100)</f>
        <v>40</v>
      </c>
      <c r="Z142" s="1121" t="s">
        <v>1087</v>
      </c>
      <c r="AA142" s="1302">
        <v>50</v>
      </c>
      <c r="AB142" s="223">
        <v>1</v>
      </c>
      <c r="AC142" s="223">
        <v>0</v>
      </c>
      <c r="AD142" s="223">
        <f>(((AC142/AB142*100)*AM142)/100)</f>
        <v>0</v>
      </c>
      <c r="AE142" s="1121" t="s">
        <v>1211</v>
      </c>
      <c r="AF142" s="223">
        <v>50</v>
      </c>
      <c r="AG142" s="223">
        <v>1</v>
      </c>
      <c r="AH142" s="223">
        <v>1</v>
      </c>
      <c r="AI142" s="746">
        <v>1</v>
      </c>
      <c r="AJ142" s="1136">
        <f>+X142+AC142</f>
        <v>1</v>
      </c>
      <c r="AK142" s="541">
        <f>25</f>
        <v>25</v>
      </c>
      <c r="AL142" s="1342">
        <v>40</v>
      </c>
      <c r="AM142" s="1342">
        <v>40</v>
      </c>
      <c r="AN142" s="506"/>
      <c r="AO142" s="183">
        <v>72394864</v>
      </c>
      <c r="AP142" s="183"/>
      <c r="AQ142" s="183">
        <f t="shared" si="83"/>
        <v>72394864</v>
      </c>
      <c r="AR142" s="1427"/>
      <c r="AS142" s="1427"/>
      <c r="AT142" s="1427"/>
      <c r="AU142" s="1420"/>
      <c r="AV142" s="1420"/>
      <c r="AW142" s="1420"/>
      <c r="AX142" s="1414"/>
      <c r="AY142" s="1408" t="e">
        <f>+AX142/AR142*100</f>
        <v>#DIV/0!</v>
      </c>
      <c r="AZ142" s="1405"/>
      <c r="BA142" s="1424" t="e">
        <f>+AZ142/AT142*100</f>
        <v>#DIV/0!</v>
      </c>
      <c r="BB142" s="1405"/>
      <c r="BC142" s="1408" t="e">
        <f>+BB142/AY142*100</f>
        <v>#DIV/0!</v>
      </c>
      <c r="BD142" s="1031">
        <f>123201263-4829151</f>
        <v>118372112</v>
      </c>
      <c r="BE142" s="1031"/>
      <c r="BF142" s="1031"/>
      <c r="BG142" s="1031">
        <f t="shared" si="84"/>
        <v>118372112</v>
      </c>
      <c r="BH142" s="997">
        <v>46206800</v>
      </c>
      <c r="BI142" s="997">
        <f>+BH142/BG142*100</f>
        <v>39.035207887479444</v>
      </c>
      <c r="BJ142" s="997">
        <v>16601034</v>
      </c>
      <c r="BK142" s="997">
        <f>+BJ142/BG142*100</f>
        <v>14.024446906886311</v>
      </c>
      <c r="BL142" s="997">
        <v>16601034</v>
      </c>
      <c r="BM142" s="997">
        <f>+BL142/BG142*100</f>
        <v>14.024446906886311</v>
      </c>
      <c r="BN142" s="964">
        <f>73000000+50000000</f>
        <v>123000000</v>
      </c>
      <c r="BO142" s="964"/>
      <c r="BP142" s="964"/>
      <c r="BQ142" s="964">
        <f t="shared" si="85"/>
        <v>123000000</v>
      </c>
      <c r="BR142" s="964">
        <f>75000000+40000000</f>
        <v>115000000</v>
      </c>
      <c r="BS142" s="964"/>
      <c r="BT142" s="964"/>
      <c r="BU142" s="964">
        <f t="shared" si="86"/>
        <v>115000000</v>
      </c>
      <c r="BV142" s="964">
        <f>76000000+50000000</f>
        <v>126000000</v>
      </c>
      <c r="BW142" s="964"/>
      <c r="BX142" s="964"/>
      <c r="BY142" s="964">
        <f t="shared" si="87"/>
        <v>126000000</v>
      </c>
      <c r="BZ142" s="967">
        <f>110000000+BG142+BU142+BY142+AQ142</f>
        <v>541766976</v>
      </c>
      <c r="CA142" s="1402"/>
      <c r="CB142" s="1435" t="e">
        <f>+CA142/BX142*100</f>
        <v>#DIV/0!</v>
      </c>
      <c r="CC142" s="1437"/>
      <c r="CD142" s="1741"/>
      <c r="CE142" s="528"/>
      <c r="CF142" s="528"/>
      <c r="CG142" s="529"/>
      <c r="CL142" s="522"/>
      <c r="CX142" s="911">
        <f t="shared" si="82"/>
        <v>-4627888</v>
      </c>
      <c r="CY142" s="1058"/>
      <c r="CZ142" s="1059"/>
      <c r="DA142" s="1105"/>
      <c r="DB142" s="530"/>
    </row>
    <row r="143" spans="1:107" s="64" customFormat="1" ht="90" hidden="1" x14ac:dyDescent="0.2">
      <c r="A143" s="16"/>
      <c r="C143" s="525"/>
      <c r="D143" s="525"/>
      <c r="E143" s="524"/>
      <c r="F143" s="525"/>
      <c r="G143" s="525"/>
      <c r="H143" s="525"/>
      <c r="I143" s="525"/>
      <c r="J143" s="1546"/>
      <c r="K143" s="1505"/>
      <c r="L143" s="208"/>
      <c r="M143" s="521"/>
      <c r="N143" s="521"/>
      <c r="O143" s="521"/>
      <c r="P143" s="16" t="s">
        <v>430</v>
      </c>
      <c r="Q143" s="640"/>
      <c r="R143" s="640"/>
      <c r="S143" s="640">
        <v>20</v>
      </c>
      <c r="T143" s="640">
        <v>20</v>
      </c>
      <c r="U143" s="16" t="s">
        <v>393</v>
      </c>
      <c r="V143" s="53" t="s">
        <v>147</v>
      </c>
      <c r="W143" s="804"/>
      <c r="X143" s="804"/>
      <c r="Y143" s="1089"/>
      <c r="Z143" s="881"/>
      <c r="AA143" s="880"/>
      <c r="AB143" s="223"/>
      <c r="AC143" s="273"/>
      <c r="AD143" s="901"/>
      <c r="AE143" s="273"/>
      <c r="AF143" s="273"/>
      <c r="AG143" s="223">
        <v>50</v>
      </c>
      <c r="AH143" s="223">
        <v>50</v>
      </c>
      <c r="AI143" s="230">
        <f>SUM(W143:AH143)</f>
        <v>100</v>
      </c>
      <c r="AJ143" s="899"/>
      <c r="AK143" s="541">
        <f>+AJ143/AI143*100</f>
        <v>0</v>
      </c>
      <c r="AL143" s="892"/>
      <c r="AM143" s="898"/>
      <c r="AN143" s="506"/>
      <c r="AO143" s="183"/>
      <c r="AP143" s="183"/>
      <c r="AQ143" s="183">
        <f t="shared" si="83"/>
        <v>0</v>
      </c>
      <c r="AR143" s="1428"/>
      <c r="AS143" s="1428"/>
      <c r="AT143" s="1428"/>
      <c r="AU143" s="1421"/>
      <c r="AV143" s="1421"/>
      <c r="AW143" s="1421"/>
      <c r="AX143" s="1415"/>
      <c r="AY143" s="1409" t="e">
        <f>+AX143/AR143*100</f>
        <v>#DIV/0!</v>
      </c>
      <c r="AZ143" s="1406"/>
      <c r="BA143" s="1425" t="e">
        <f>+AZ143/AT143*100</f>
        <v>#DIV/0!</v>
      </c>
      <c r="BB143" s="1406"/>
      <c r="BC143" s="1409" t="e">
        <f>+BB143/AY143*100</f>
        <v>#DIV/0!</v>
      </c>
      <c r="BD143" s="964"/>
      <c r="BE143" s="964"/>
      <c r="BF143" s="964"/>
      <c r="BG143" s="964">
        <f t="shared" si="84"/>
        <v>0</v>
      </c>
      <c r="BH143" s="978"/>
      <c r="BI143" s="978"/>
      <c r="BJ143" s="985"/>
      <c r="BK143" s="978"/>
      <c r="BL143" s="985"/>
      <c r="BM143" s="978"/>
      <c r="BN143" s="964"/>
      <c r="BO143" s="964"/>
      <c r="BP143" s="964"/>
      <c r="BQ143" s="964">
        <f t="shared" si="85"/>
        <v>0</v>
      </c>
      <c r="BR143" s="964">
        <v>45000000</v>
      </c>
      <c r="BS143" s="964"/>
      <c r="BT143" s="964"/>
      <c r="BU143" s="964">
        <f t="shared" si="86"/>
        <v>45000000</v>
      </c>
      <c r="BV143" s="964">
        <v>50000000</v>
      </c>
      <c r="BW143" s="964"/>
      <c r="BX143" s="964"/>
      <c r="BY143" s="964">
        <f t="shared" si="87"/>
        <v>50000000</v>
      </c>
      <c r="BZ143" s="967">
        <f>+BG143+BU143+BY143+AQ143</f>
        <v>95000000</v>
      </c>
      <c r="CA143" s="1403"/>
      <c r="CB143" s="1438" t="e">
        <f>+CA143/BX143*100</f>
        <v>#DIV/0!</v>
      </c>
      <c r="CC143" s="1439"/>
      <c r="CD143" s="1742"/>
      <c r="CE143" s="528"/>
      <c r="CF143" s="528"/>
      <c r="CG143" s="529"/>
      <c r="CL143" s="518"/>
      <c r="CX143" s="911">
        <f t="shared" si="82"/>
        <v>0</v>
      </c>
      <c r="CY143" s="1011"/>
    </row>
    <row r="144" spans="1:107" s="815" customFormat="1" ht="45" customHeight="1" x14ac:dyDescent="0.2">
      <c r="A144" s="819" t="s">
        <v>101</v>
      </c>
      <c r="C144" s="848"/>
      <c r="D144" s="848"/>
      <c r="E144" s="832"/>
      <c r="F144" s="848"/>
      <c r="G144" s="848"/>
      <c r="H144" s="848"/>
      <c r="I144" s="848"/>
      <c r="J144" s="1205" t="s">
        <v>867</v>
      </c>
      <c r="K144" s="1205"/>
      <c r="L144" s="1209">
        <v>10</v>
      </c>
      <c r="M144" s="1209">
        <v>8</v>
      </c>
      <c r="N144" s="1209">
        <v>8</v>
      </c>
      <c r="O144" s="1209">
        <v>8</v>
      </c>
      <c r="P144" s="1138"/>
      <c r="Q144" s="1227"/>
      <c r="R144" s="1227"/>
      <c r="S144" s="1227"/>
      <c r="T144" s="1227"/>
      <c r="U144" s="1227"/>
      <c r="V144" s="1228"/>
      <c r="W144" s="1229"/>
      <c r="X144" s="1229"/>
      <c r="Y144" s="1139">
        <f>((((Y145+Y146+Y147)/3)*AL144)/100)</f>
        <v>10</v>
      </c>
      <c r="Z144" s="1139"/>
      <c r="AA144" s="1139">
        <f>((((AA145+AA146+AA147)/3)*AL144)/100)</f>
        <v>10</v>
      </c>
      <c r="AB144" s="1139"/>
      <c r="AC144" s="1139"/>
      <c r="AD144" s="1139">
        <f>((((AD145+AD146+AD147)/3)*AM144)/100)</f>
        <v>1.8629019607843136</v>
      </c>
      <c r="AE144" s="1139"/>
      <c r="AF144" s="1139">
        <f>(AF145+AF146+AF147)/3</f>
        <v>38.96</v>
      </c>
      <c r="AG144" s="1139"/>
      <c r="AH144" s="1139"/>
      <c r="AI144" s="1139"/>
      <c r="AJ144" s="1139"/>
      <c r="AK144" s="1139">
        <f>((AK145+AK146+AK147)/3)</f>
        <v>25</v>
      </c>
      <c r="AL144" s="1139">
        <f>+L144</f>
        <v>10</v>
      </c>
      <c r="AM144" s="1139">
        <v>8</v>
      </c>
      <c r="AN144" s="1139"/>
      <c r="AO144" s="821">
        <f>+AO145</f>
        <v>76881726</v>
      </c>
      <c r="AP144" s="821">
        <f>+AP145</f>
        <v>0</v>
      </c>
      <c r="AQ144" s="821">
        <f t="shared" si="83"/>
        <v>76881726</v>
      </c>
      <c r="AR144" s="822">
        <f>+AR145</f>
        <v>76881726</v>
      </c>
      <c r="AS144" s="822">
        <f>+AS145</f>
        <v>0</v>
      </c>
      <c r="AT144" s="822">
        <f>+AT145</f>
        <v>76881726</v>
      </c>
      <c r="AU144" s="823">
        <f>+AU145</f>
        <v>76881726</v>
      </c>
      <c r="AV144" s="823">
        <f>+AV145</f>
        <v>0</v>
      </c>
      <c r="AW144" s="823">
        <f t="shared" ref="AW144:AW155" si="88">SUM(AU144:AV144)</f>
        <v>76881726</v>
      </c>
      <c r="AX144" s="824">
        <f>+AX145</f>
        <v>66874196</v>
      </c>
      <c r="AY144" s="825">
        <f>+AX144/AW144*100</f>
        <v>86.983213670307038</v>
      </c>
      <c r="AZ144" s="826">
        <f>+AZ145</f>
        <v>66567894</v>
      </c>
      <c r="BA144" s="825">
        <f>+AZ144/AW144*100</f>
        <v>86.584806901967838</v>
      </c>
      <c r="BB144" s="826">
        <f>+BB145</f>
        <v>66567894</v>
      </c>
      <c r="BC144" s="825">
        <f>+BB144/AW144*100</f>
        <v>86.584806901967838</v>
      </c>
      <c r="BD144" s="947">
        <f>+BD145</f>
        <v>92371418</v>
      </c>
      <c r="BE144" s="947">
        <f>+BE145</f>
        <v>0</v>
      </c>
      <c r="BF144" s="947">
        <f>+BF145</f>
        <v>0</v>
      </c>
      <c r="BG144" s="947">
        <f t="shared" si="84"/>
        <v>92371418</v>
      </c>
      <c r="BH144" s="947">
        <f>+BH145</f>
        <v>77157102</v>
      </c>
      <c r="BI144" s="947">
        <f>+BH144/BG144*100</f>
        <v>83.529195145623945</v>
      </c>
      <c r="BJ144" s="947">
        <f>+BJ145</f>
        <v>31741712</v>
      </c>
      <c r="BK144" s="947">
        <f>+BJ144/BG144*100</f>
        <v>34.36313167780969</v>
      </c>
      <c r="BL144" s="947">
        <f>+BL145</f>
        <v>31741712</v>
      </c>
      <c r="BM144" s="947">
        <f>+BL144/BG144*100</f>
        <v>34.36313167780969</v>
      </c>
      <c r="BN144" s="947">
        <f>+BN145</f>
        <v>79088760</v>
      </c>
      <c r="BO144" s="947">
        <f>+BO145</f>
        <v>0</v>
      </c>
      <c r="BP144" s="947">
        <f>+BP145</f>
        <v>0</v>
      </c>
      <c r="BQ144" s="947">
        <f t="shared" si="85"/>
        <v>79088760</v>
      </c>
      <c r="BR144" s="947">
        <f>+BR145</f>
        <v>83043198</v>
      </c>
      <c r="BS144" s="947">
        <f>+BS145</f>
        <v>0</v>
      </c>
      <c r="BT144" s="947">
        <f>+BT145</f>
        <v>0</v>
      </c>
      <c r="BU144" s="947">
        <f t="shared" si="86"/>
        <v>83043198</v>
      </c>
      <c r="BV144" s="947">
        <f>+BV145</f>
        <v>87195357</v>
      </c>
      <c r="BW144" s="947">
        <f>+BW145</f>
        <v>0</v>
      </c>
      <c r="BX144" s="947">
        <f>+BX145</f>
        <v>0</v>
      </c>
      <c r="BY144" s="947">
        <f t="shared" si="87"/>
        <v>87195357</v>
      </c>
      <c r="BZ144" s="948">
        <f>+BZ145</f>
        <v>339491699</v>
      </c>
      <c r="CA144" s="948">
        <f>+CA145</f>
        <v>144031298</v>
      </c>
      <c r="CB144" s="949">
        <f>+CA144/BZ144*100</f>
        <v>42.425572826745316</v>
      </c>
      <c r="CC144" s="827"/>
      <c r="CD144" s="825"/>
      <c r="CE144" s="828"/>
      <c r="CF144" s="834">
        <f>+BZ145</f>
        <v>339491699</v>
      </c>
      <c r="CG144" s="829"/>
      <c r="CL144" s="821"/>
      <c r="CX144" s="911">
        <f t="shared" si="82"/>
        <v>13282658</v>
      </c>
      <c r="CY144" s="1009"/>
      <c r="DA144" s="846"/>
    </row>
    <row r="145" spans="1:107" s="64" customFormat="1" ht="121.5" customHeight="1" x14ac:dyDescent="0.2">
      <c r="A145" s="1449" t="s">
        <v>102</v>
      </c>
      <c r="C145" s="525"/>
      <c r="D145" s="525"/>
      <c r="E145" s="524"/>
      <c r="F145" s="525"/>
      <c r="G145" s="525"/>
      <c r="H145" s="525"/>
      <c r="I145" s="525"/>
      <c r="J145" s="1544"/>
      <c r="K145" s="1503" t="s">
        <v>421</v>
      </c>
      <c r="L145" s="614"/>
      <c r="M145" s="519"/>
      <c r="N145" s="519"/>
      <c r="O145" s="519"/>
      <c r="P145" s="1449" t="s">
        <v>102</v>
      </c>
      <c r="Q145" s="1442">
        <v>100</v>
      </c>
      <c r="R145" s="1442">
        <v>100</v>
      </c>
      <c r="S145" s="1442">
        <v>100</v>
      </c>
      <c r="T145" s="1442">
        <v>100</v>
      </c>
      <c r="U145" s="16" t="s">
        <v>178</v>
      </c>
      <c r="V145" s="1155" t="s">
        <v>147</v>
      </c>
      <c r="W145" s="223">
        <v>82</v>
      </c>
      <c r="X145" s="223">
        <v>82</v>
      </c>
      <c r="Y145" s="1302">
        <f>(((X145/W145*100)*AL145)/100)</f>
        <v>100</v>
      </c>
      <c r="Z145" s="1121" t="s">
        <v>1088</v>
      </c>
      <c r="AA145" s="1302">
        <f>+Y145</f>
        <v>100</v>
      </c>
      <c r="AB145" s="223">
        <v>82</v>
      </c>
      <c r="AC145" s="1136">
        <v>81.67</v>
      </c>
      <c r="AD145" s="223">
        <v>50</v>
      </c>
      <c r="AE145" s="1121" t="s">
        <v>1314</v>
      </c>
      <c r="AF145" s="223">
        <v>50</v>
      </c>
      <c r="AG145" s="223">
        <v>82</v>
      </c>
      <c r="AH145" s="223">
        <v>82</v>
      </c>
      <c r="AI145" s="425">
        <v>82</v>
      </c>
      <c r="AJ145" s="1136">
        <f>+(X145+AC145)/2</f>
        <v>81.835000000000008</v>
      </c>
      <c r="AK145" s="541">
        <v>25</v>
      </c>
      <c r="AL145" s="1410">
        <v>100</v>
      </c>
      <c r="AM145" s="1410">
        <v>100</v>
      </c>
      <c r="AN145" s="560"/>
      <c r="AO145" s="1529">
        <v>76881726</v>
      </c>
      <c r="AP145" s="1529"/>
      <c r="AQ145" s="1529">
        <f t="shared" si="83"/>
        <v>76881726</v>
      </c>
      <c r="AR145" s="1426">
        <v>76881726</v>
      </c>
      <c r="AS145" s="1532"/>
      <c r="AT145" s="1426">
        <f>+AR145+AS145</f>
        <v>76881726</v>
      </c>
      <c r="AU145" s="1419">
        <v>76881726</v>
      </c>
      <c r="AV145" s="1419"/>
      <c r="AW145" s="1419">
        <f t="shared" si="88"/>
        <v>76881726</v>
      </c>
      <c r="AX145" s="1416">
        <v>66874196</v>
      </c>
      <c r="AY145" s="1407">
        <f>+AX145/AW145*100</f>
        <v>86.983213670307038</v>
      </c>
      <c r="AZ145" s="1404">
        <v>66567894</v>
      </c>
      <c r="BA145" s="1407">
        <f>+AZ145/AW145*100</f>
        <v>86.584806901967838</v>
      </c>
      <c r="BB145" s="1404">
        <v>66567894</v>
      </c>
      <c r="BC145" s="1407">
        <f>+BB145/AW145*100</f>
        <v>86.584806901967838</v>
      </c>
      <c r="BD145" s="1388">
        <v>92371418</v>
      </c>
      <c r="BE145" s="1541"/>
      <c r="BF145" s="1541"/>
      <c r="BG145" s="1388">
        <f t="shared" si="84"/>
        <v>92371418</v>
      </c>
      <c r="BH145" s="1388">
        <v>77157102</v>
      </c>
      <c r="BI145" s="1388">
        <f>+BH145/BG145*100</f>
        <v>83.529195145623945</v>
      </c>
      <c r="BJ145" s="1388">
        <v>31741712</v>
      </c>
      <c r="BK145" s="1388">
        <f>+BJ145/BG145*100</f>
        <v>34.36313167780969</v>
      </c>
      <c r="BL145" s="1388">
        <v>31741712</v>
      </c>
      <c r="BM145" s="1388">
        <f>+BL145/BG145*100</f>
        <v>34.36313167780969</v>
      </c>
      <c r="BN145" s="1388">
        <v>79088760</v>
      </c>
      <c r="BO145" s="1541"/>
      <c r="BP145" s="1541"/>
      <c r="BQ145" s="1388">
        <f t="shared" si="85"/>
        <v>79088760</v>
      </c>
      <c r="BR145" s="1388">
        <v>83043198</v>
      </c>
      <c r="BS145" s="971"/>
      <c r="BT145" s="1400"/>
      <c r="BU145" s="1388">
        <f t="shared" si="86"/>
        <v>83043198</v>
      </c>
      <c r="BV145" s="1388">
        <v>87195357</v>
      </c>
      <c r="BW145" s="971"/>
      <c r="BX145" s="1400"/>
      <c r="BY145" s="1388">
        <f t="shared" si="87"/>
        <v>87195357</v>
      </c>
      <c r="BZ145" s="1401">
        <f>+AW145+BG145+BU145+BY145</f>
        <v>339491699</v>
      </c>
      <c r="CA145" s="1747">
        <f>+BH145+AX145</f>
        <v>144031298</v>
      </c>
      <c r="CB145" s="1434">
        <f>+CA145/BZ145*100</f>
        <v>42.425572826745316</v>
      </c>
      <c r="CC145" s="1540"/>
      <c r="CD145" s="1740" t="s">
        <v>1177</v>
      </c>
      <c r="CE145" s="528"/>
      <c r="CF145" s="528"/>
      <c r="CG145" s="529"/>
      <c r="CL145" s="517"/>
      <c r="CX145" s="911">
        <f t="shared" si="82"/>
        <v>13282658</v>
      </c>
      <c r="CY145" s="1018"/>
      <c r="CZ145" s="1020"/>
      <c r="DA145" s="1132"/>
    </row>
    <row r="146" spans="1:107" s="64" customFormat="1" ht="167.25" customHeight="1" x14ac:dyDescent="0.2">
      <c r="A146" s="1450"/>
      <c r="C146" s="525"/>
      <c r="D146" s="525"/>
      <c r="E146" s="524"/>
      <c r="F146" s="525"/>
      <c r="G146" s="525"/>
      <c r="H146" s="525"/>
      <c r="I146" s="525"/>
      <c r="J146" s="1545"/>
      <c r="K146" s="1504"/>
      <c r="L146" s="615"/>
      <c r="M146" s="520"/>
      <c r="N146" s="520"/>
      <c r="O146" s="520"/>
      <c r="P146" s="1450"/>
      <c r="Q146" s="1443"/>
      <c r="R146" s="1443"/>
      <c r="S146" s="1443"/>
      <c r="T146" s="1443"/>
      <c r="U146" s="16" t="s">
        <v>179</v>
      </c>
      <c r="V146" s="1155" t="s">
        <v>147</v>
      </c>
      <c r="W146" s="223">
        <v>85</v>
      </c>
      <c r="X146" s="223">
        <v>312.07</v>
      </c>
      <c r="Y146" s="1302">
        <v>100</v>
      </c>
      <c r="Z146" s="1121" t="s">
        <v>1089</v>
      </c>
      <c r="AA146" s="1302">
        <f>+Y146</f>
        <v>100</v>
      </c>
      <c r="AB146" s="223">
        <v>85</v>
      </c>
      <c r="AC146" s="1136">
        <v>16.88</v>
      </c>
      <c r="AD146" s="223">
        <f>(((AC146/AB146*100)*AM145)/100)</f>
        <v>19.858823529411765</v>
      </c>
      <c r="AE146" s="1121" t="s">
        <v>1315</v>
      </c>
      <c r="AF146" s="1136">
        <v>16.88</v>
      </c>
      <c r="AG146" s="223">
        <v>85</v>
      </c>
      <c r="AH146" s="223">
        <v>85</v>
      </c>
      <c r="AI146" s="425">
        <v>85</v>
      </c>
      <c r="AJ146" s="1136">
        <f>+X146+AC146</f>
        <v>328.95</v>
      </c>
      <c r="AK146" s="541">
        <v>25</v>
      </c>
      <c r="AL146" s="1411"/>
      <c r="AM146" s="1411"/>
      <c r="AN146" s="537"/>
      <c r="AO146" s="1530"/>
      <c r="AP146" s="1530"/>
      <c r="AQ146" s="1530">
        <f t="shared" si="83"/>
        <v>0</v>
      </c>
      <c r="AR146" s="1427"/>
      <c r="AS146" s="1533"/>
      <c r="AT146" s="1427"/>
      <c r="AU146" s="1420"/>
      <c r="AV146" s="1420"/>
      <c r="AW146" s="1420">
        <f t="shared" si="88"/>
        <v>0</v>
      </c>
      <c r="AX146" s="1417"/>
      <c r="AY146" s="1408" t="e">
        <f>+AX146/AR146*100</f>
        <v>#DIV/0!</v>
      </c>
      <c r="AZ146" s="1405"/>
      <c r="BA146" s="1424" t="e">
        <f>+AZ146/AT146*100</f>
        <v>#DIV/0!</v>
      </c>
      <c r="BB146" s="1405"/>
      <c r="BC146" s="1408" t="e">
        <f>+BB146/AY146*100</f>
        <v>#DIV/0!</v>
      </c>
      <c r="BD146" s="1389"/>
      <c r="BE146" s="1542"/>
      <c r="BF146" s="1542"/>
      <c r="BG146" s="1389">
        <f t="shared" si="84"/>
        <v>0</v>
      </c>
      <c r="BH146" s="1389"/>
      <c r="BI146" s="1389"/>
      <c r="BJ146" s="1389"/>
      <c r="BK146" s="1389"/>
      <c r="BL146" s="1389"/>
      <c r="BM146" s="1389"/>
      <c r="BN146" s="1389"/>
      <c r="BO146" s="1542"/>
      <c r="BP146" s="1542"/>
      <c r="BQ146" s="1389">
        <f t="shared" si="85"/>
        <v>0</v>
      </c>
      <c r="BR146" s="1389"/>
      <c r="BS146" s="971"/>
      <c r="BT146" s="1400"/>
      <c r="BU146" s="1389">
        <f t="shared" si="86"/>
        <v>0</v>
      </c>
      <c r="BV146" s="1389"/>
      <c r="BW146" s="971"/>
      <c r="BX146" s="1400"/>
      <c r="BY146" s="1389">
        <f t="shared" si="87"/>
        <v>0</v>
      </c>
      <c r="BZ146" s="1402">
        <f>+AQ146+BQ146+BU146+BY146</f>
        <v>0</v>
      </c>
      <c r="CA146" s="1750"/>
      <c r="CB146" s="1435" t="e">
        <f>+CA146/BX146*100</f>
        <v>#DIV/0!</v>
      </c>
      <c r="CC146" s="1540"/>
      <c r="CD146" s="1741"/>
      <c r="CE146" s="528"/>
      <c r="CF146" s="528"/>
      <c r="CG146" s="529"/>
      <c r="CL146" s="522"/>
      <c r="CX146" s="911">
        <f t="shared" si="82"/>
        <v>0</v>
      </c>
      <c r="CY146" s="1011"/>
      <c r="DA146" s="1131"/>
    </row>
    <row r="147" spans="1:107" s="64" customFormat="1" ht="101.25" x14ac:dyDescent="0.2">
      <c r="A147" s="1451"/>
      <c r="C147" s="525"/>
      <c r="D147" s="525"/>
      <c r="E147" s="524"/>
      <c r="F147" s="525"/>
      <c r="G147" s="525"/>
      <c r="H147" s="525"/>
      <c r="I147" s="525"/>
      <c r="J147" s="1546"/>
      <c r="K147" s="1505"/>
      <c r="L147" s="208"/>
      <c r="M147" s="521"/>
      <c r="N147" s="521"/>
      <c r="O147" s="521"/>
      <c r="P147" s="1451"/>
      <c r="Q147" s="1444"/>
      <c r="R147" s="1444"/>
      <c r="S147" s="1444"/>
      <c r="T147" s="1444"/>
      <c r="U147" s="16" t="s">
        <v>180</v>
      </c>
      <c r="V147" s="1155" t="s">
        <v>147</v>
      </c>
      <c r="W147" s="223">
        <v>100</v>
      </c>
      <c r="X147" s="223">
        <v>100</v>
      </c>
      <c r="Y147" s="1302">
        <f>+X147/W147*100</f>
        <v>100</v>
      </c>
      <c r="Z147" s="1121" t="s">
        <v>1090</v>
      </c>
      <c r="AA147" s="1302">
        <f>+Y147</f>
        <v>100</v>
      </c>
      <c r="AB147" s="223">
        <v>100</v>
      </c>
      <c r="AC147" s="223">
        <v>0</v>
      </c>
      <c r="AD147" s="223">
        <f>(((AC147/AB147*100)*AM145)/100)</f>
        <v>0</v>
      </c>
      <c r="AE147" s="1121" t="s">
        <v>1316</v>
      </c>
      <c r="AF147" s="223">
        <v>50</v>
      </c>
      <c r="AG147" s="223">
        <v>100</v>
      </c>
      <c r="AH147" s="223">
        <v>100</v>
      </c>
      <c r="AI147" s="425">
        <v>100</v>
      </c>
      <c r="AJ147" s="1136">
        <f>+X147+AC147</f>
        <v>100</v>
      </c>
      <c r="AK147" s="541">
        <v>25</v>
      </c>
      <c r="AL147" s="1412"/>
      <c r="AM147" s="1412"/>
      <c r="AN147" s="538"/>
      <c r="AO147" s="1531"/>
      <c r="AP147" s="1531"/>
      <c r="AQ147" s="1531">
        <f t="shared" si="83"/>
        <v>0</v>
      </c>
      <c r="AR147" s="1428"/>
      <c r="AS147" s="1534"/>
      <c r="AT147" s="1428"/>
      <c r="AU147" s="1421"/>
      <c r="AV147" s="1421"/>
      <c r="AW147" s="1421">
        <f t="shared" si="88"/>
        <v>0</v>
      </c>
      <c r="AX147" s="1418"/>
      <c r="AY147" s="1409" t="e">
        <f>+AX147/AR147*100</f>
        <v>#DIV/0!</v>
      </c>
      <c r="AZ147" s="1406"/>
      <c r="BA147" s="1425" t="e">
        <f>+AZ147/AT147*100</f>
        <v>#DIV/0!</v>
      </c>
      <c r="BB147" s="1406"/>
      <c r="BC147" s="1409" t="e">
        <f>+BB147/AY147*100</f>
        <v>#DIV/0!</v>
      </c>
      <c r="BD147" s="1390"/>
      <c r="BE147" s="1543"/>
      <c r="BF147" s="1543"/>
      <c r="BG147" s="1390">
        <f t="shared" si="84"/>
        <v>0</v>
      </c>
      <c r="BH147" s="1390"/>
      <c r="BI147" s="1390"/>
      <c r="BJ147" s="1390"/>
      <c r="BK147" s="1390"/>
      <c r="BL147" s="1390"/>
      <c r="BM147" s="1390"/>
      <c r="BN147" s="1390"/>
      <c r="BO147" s="1543"/>
      <c r="BP147" s="1543"/>
      <c r="BQ147" s="1390">
        <f t="shared" si="85"/>
        <v>0</v>
      </c>
      <c r="BR147" s="1390"/>
      <c r="BS147" s="971"/>
      <c r="BT147" s="1400"/>
      <c r="BU147" s="1390">
        <f t="shared" si="86"/>
        <v>0</v>
      </c>
      <c r="BV147" s="1390"/>
      <c r="BW147" s="971"/>
      <c r="BX147" s="1400"/>
      <c r="BY147" s="1390">
        <f t="shared" si="87"/>
        <v>0</v>
      </c>
      <c r="BZ147" s="1403">
        <f>+AQ147+BQ147+BU147+BY147</f>
        <v>0</v>
      </c>
      <c r="CA147" s="1748"/>
      <c r="CB147" s="1438" t="e">
        <f>+CA147/BX147*100</f>
        <v>#DIV/0!</v>
      </c>
      <c r="CC147" s="1540"/>
      <c r="CD147" s="1742"/>
      <c r="CE147" s="528"/>
      <c r="CF147" s="528"/>
      <c r="CG147" s="529"/>
      <c r="CL147" s="518"/>
      <c r="CX147" s="911">
        <f t="shared" si="82"/>
        <v>0</v>
      </c>
      <c r="CY147" s="1011"/>
      <c r="DA147" s="1131"/>
    </row>
    <row r="148" spans="1:107" s="815" customFormat="1" ht="45" x14ac:dyDescent="0.2">
      <c r="A148" s="819" t="s">
        <v>103</v>
      </c>
      <c r="C148" s="848"/>
      <c r="D148" s="848"/>
      <c r="E148" s="832"/>
      <c r="F148" s="848"/>
      <c r="G148" s="848"/>
      <c r="H148" s="848"/>
      <c r="I148" s="848"/>
      <c r="J148" s="1205" t="s">
        <v>868</v>
      </c>
      <c r="K148" s="1205"/>
      <c r="L148" s="1209">
        <v>10</v>
      </c>
      <c r="M148" s="1209">
        <v>8</v>
      </c>
      <c r="N148" s="1209">
        <v>8</v>
      </c>
      <c r="O148" s="1209">
        <v>8</v>
      </c>
      <c r="P148" s="1138"/>
      <c r="Q148" s="1227"/>
      <c r="R148" s="1227"/>
      <c r="S148" s="1227"/>
      <c r="T148" s="1227"/>
      <c r="U148" s="1138"/>
      <c r="V148" s="1138"/>
      <c r="W148" s="1138"/>
      <c r="X148" s="1138"/>
      <c r="Y148" s="1138">
        <f>(((Y149+Y150+Y151)*AL148)/100)</f>
        <v>10</v>
      </c>
      <c r="Z148" s="1138"/>
      <c r="AA148" s="1282">
        <f>((((AA149+AA150+AA151)/3)*AL148)/100)</f>
        <v>3.3333333333333339</v>
      </c>
      <c r="AB148" s="1138"/>
      <c r="AC148" s="1138"/>
      <c r="AD148" s="1282">
        <f>(((AD149+AD150+AD151)*AM148)/100)</f>
        <v>2.689511111111111</v>
      </c>
      <c r="AE148" s="1138"/>
      <c r="AF148" s="1282">
        <f>(AF149+AF150+AF151)/3</f>
        <v>61.366666666666667</v>
      </c>
      <c r="AG148" s="1138"/>
      <c r="AH148" s="1138"/>
      <c r="AI148" s="1138"/>
      <c r="AJ148" s="1138"/>
      <c r="AK148" s="1138">
        <f>((AK149+AK150+AK151)/3)</f>
        <v>25</v>
      </c>
      <c r="AL148" s="1138">
        <f>+L148</f>
        <v>10</v>
      </c>
      <c r="AM148" s="1138">
        <v>8</v>
      </c>
      <c r="AN148" s="1138"/>
      <c r="AO148" s="821">
        <f>+AO149</f>
        <v>165597059</v>
      </c>
      <c r="AP148" s="821">
        <f>+AP149</f>
        <v>0</v>
      </c>
      <c r="AQ148" s="821">
        <f t="shared" si="83"/>
        <v>165597059</v>
      </c>
      <c r="AR148" s="822">
        <f>+AR149</f>
        <v>165597059</v>
      </c>
      <c r="AS148" s="822">
        <f>+AS149</f>
        <v>0</v>
      </c>
      <c r="AT148" s="822">
        <f>+AT149</f>
        <v>165597059</v>
      </c>
      <c r="AU148" s="823">
        <f>+AU149</f>
        <v>179896870</v>
      </c>
      <c r="AV148" s="823">
        <f>+AV149</f>
        <v>0</v>
      </c>
      <c r="AW148" s="823">
        <f t="shared" si="88"/>
        <v>179896870</v>
      </c>
      <c r="AX148" s="824">
        <f>+AX149</f>
        <v>176803316</v>
      </c>
      <c r="AY148" s="825">
        <f>+AX148/AW148*100</f>
        <v>98.280373638518554</v>
      </c>
      <c r="AZ148" s="826">
        <f>+AZ149</f>
        <v>174886596</v>
      </c>
      <c r="BA148" s="825">
        <f>+AZ148/AW148*100</f>
        <v>97.214918747613567</v>
      </c>
      <c r="BB148" s="826">
        <f>+BB149</f>
        <v>174886596</v>
      </c>
      <c r="BC148" s="825">
        <f>+BB148/AW148*100</f>
        <v>97.214918747613567</v>
      </c>
      <c r="BD148" s="947">
        <f>+BD149</f>
        <v>258850378</v>
      </c>
      <c r="BE148" s="947">
        <f>+BE149</f>
        <v>0</v>
      </c>
      <c r="BF148" s="947">
        <f>+BF149</f>
        <v>0</v>
      </c>
      <c r="BG148" s="947">
        <f t="shared" si="84"/>
        <v>258850378</v>
      </c>
      <c r="BH148" s="947">
        <f>+BH149</f>
        <v>227536725</v>
      </c>
      <c r="BI148" s="947">
        <f>+BH148/BG148*100</f>
        <v>87.902798040341281</v>
      </c>
      <c r="BJ148" s="947">
        <f>+BJ149</f>
        <v>91754995</v>
      </c>
      <c r="BK148" s="947">
        <f>+BJ148/BG148*100</f>
        <v>35.447116480548466</v>
      </c>
      <c r="BL148" s="947">
        <f>+BL149</f>
        <v>91754995</v>
      </c>
      <c r="BM148" s="947">
        <f>+BL148/BG148*100</f>
        <v>35.447116480548466</v>
      </c>
      <c r="BN148" s="947">
        <f>+BN149</f>
        <v>168909000</v>
      </c>
      <c r="BO148" s="947">
        <f>+BO149</f>
        <v>0</v>
      </c>
      <c r="BP148" s="947">
        <f>+BP149</f>
        <v>0</v>
      </c>
      <c r="BQ148" s="947">
        <f t="shared" si="85"/>
        <v>168909000</v>
      </c>
      <c r="BR148" s="947">
        <f>+BR149</f>
        <v>172287180</v>
      </c>
      <c r="BS148" s="947">
        <f>+BS149</f>
        <v>0</v>
      </c>
      <c r="BT148" s="947">
        <f>+BT149</f>
        <v>0</v>
      </c>
      <c r="BU148" s="947">
        <f t="shared" si="86"/>
        <v>172287180</v>
      </c>
      <c r="BV148" s="947">
        <f>+BV149</f>
        <v>175732924</v>
      </c>
      <c r="BW148" s="947">
        <f>+BW149</f>
        <v>0</v>
      </c>
      <c r="BX148" s="947">
        <f>+BX149</f>
        <v>0</v>
      </c>
      <c r="BY148" s="947">
        <f t="shared" si="87"/>
        <v>175732924</v>
      </c>
      <c r="BZ148" s="948">
        <f>+BZ149</f>
        <v>786767352</v>
      </c>
      <c r="CA148" s="948">
        <f>+CA149</f>
        <v>404340041</v>
      </c>
      <c r="CB148" s="949">
        <f>+CA148/BZ148*100</f>
        <v>51.392580026630284</v>
      </c>
      <c r="CC148" s="827"/>
      <c r="CD148" s="825"/>
      <c r="CE148" s="828"/>
      <c r="CF148" s="834">
        <f>+BZ149</f>
        <v>786767352</v>
      </c>
      <c r="CG148" s="829"/>
      <c r="CL148" s="821"/>
      <c r="CX148" s="911">
        <f t="shared" si="82"/>
        <v>89941378</v>
      </c>
      <c r="CY148" s="1009"/>
      <c r="DA148" s="846"/>
    </row>
    <row r="149" spans="1:107" s="64" customFormat="1" ht="146.25" customHeight="1" x14ac:dyDescent="0.2">
      <c r="A149" s="18" t="s">
        <v>104</v>
      </c>
      <c r="C149" s="525"/>
      <c r="D149" s="525"/>
      <c r="E149" s="524"/>
      <c r="F149" s="525"/>
      <c r="G149" s="525"/>
      <c r="H149" s="525"/>
      <c r="I149" s="525"/>
      <c r="J149" s="1521"/>
      <c r="K149" s="1503" t="s">
        <v>421</v>
      </c>
      <c r="L149" s="614"/>
      <c r="M149" s="519"/>
      <c r="N149" s="519"/>
      <c r="O149" s="519"/>
      <c r="P149" s="16" t="s">
        <v>721</v>
      </c>
      <c r="Q149" s="568">
        <v>50</v>
      </c>
      <c r="R149" s="568">
        <v>50</v>
      </c>
      <c r="S149" s="568">
        <v>50</v>
      </c>
      <c r="T149" s="568">
        <v>50</v>
      </c>
      <c r="U149" s="16" t="s">
        <v>182</v>
      </c>
      <c r="V149" s="744" t="s">
        <v>147</v>
      </c>
      <c r="W149" s="804">
        <v>100</v>
      </c>
      <c r="X149" s="804">
        <v>100</v>
      </c>
      <c r="Y149" s="1089">
        <v>50</v>
      </c>
      <c r="Z149" s="881" t="s">
        <v>1091</v>
      </c>
      <c r="AA149" s="880">
        <f>+Y149</f>
        <v>50</v>
      </c>
      <c r="AB149" s="223">
        <v>100</v>
      </c>
      <c r="AC149" s="223"/>
      <c r="AD149" s="223">
        <f>(((AC149/AB149*100)*AM149)/100)</f>
        <v>0</v>
      </c>
      <c r="AE149" s="1121" t="s">
        <v>1317</v>
      </c>
      <c r="AF149" s="223">
        <v>50</v>
      </c>
      <c r="AG149" s="223">
        <v>100</v>
      </c>
      <c r="AH149" s="223">
        <v>100</v>
      </c>
      <c r="AI149" s="425">
        <v>100</v>
      </c>
      <c r="AJ149" s="1136">
        <f>+((X149+AC149)/400)*100</f>
        <v>25</v>
      </c>
      <c r="AK149" s="541">
        <v>25</v>
      </c>
      <c r="AL149" s="1342">
        <v>50</v>
      </c>
      <c r="AM149" s="1310">
        <v>50</v>
      </c>
      <c r="AN149" s="560"/>
      <c r="AO149" s="1529">
        <v>165597059</v>
      </c>
      <c r="AP149" s="1529"/>
      <c r="AQ149" s="1529">
        <f t="shared" si="83"/>
        <v>165597059</v>
      </c>
      <c r="AR149" s="1426">
        <v>165597059</v>
      </c>
      <c r="AS149" s="1532"/>
      <c r="AT149" s="1426">
        <f>+AR149+AS149</f>
        <v>165597059</v>
      </c>
      <c r="AU149" s="1419">
        <v>179896870</v>
      </c>
      <c r="AV149" s="1419"/>
      <c r="AW149" s="1419">
        <f t="shared" si="88"/>
        <v>179896870</v>
      </c>
      <c r="AX149" s="1413">
        <v>176803316</v>
      </c>
      <c r="AY149" s="1407">
        <f>+AX149/AW149*100</f>
        <v>98.280373638518554</v>
      </c>
      <c r="AZ149" s="1404">
        <v>174886596</v>
      </c>
      <c r="BA149" s="1407">
        <f>+AZ149/AW149*100</f>
        <v>97.214918747613567</v>
      </c>
      <c r="BB149" s="1404">
        <v>174886596</v>
      </c>
      <c r="BC149" s="1407">
        <f>+BB149/AW149*100</f>
        <v>97.214918747613567</v>
      </c>
      <c r="BD149" s="1388">
        <v>258850378</v>
      </c>
      <c r="BE149" s="1537"/>
      <c r="BF149" s="1537"/>
      <c r="BG149" s="1388">
        <f t="shared" si="84"/>
        <v>258850378</v>
      </c>
      <c r="BH149" s="1388">
        <v>227536725</v>
      </c>
      <c r="BI149" s="1388">
        <f>+BH149/BG149*100</f>
        <v>87.902798040341281</v>
      </c>
      <c r="BJ149" s="1388">
        <v>91754995</v>
      </c>
      <c r="BK149" s="1388">
        <f>+BJ149/BG149*100</f>
        <v>35.447116480548466</v>
      </c>
      <c r="BL149" s="1388">
        <v>91754995</v>
      </c>
      <c r="BM149" s="1388">
        <f>+BL149/BG149*100</f>
        <v>35.447116480548466</v>
      </c>
      <c r="BN149" s="1388">
        <f>+ROUND(AO149*0.02,0)+AO149</f>
        <v>168909000</v>
      </c>
      <c r="BO149" s="1537"/>
      <c r="BP149" s="1537"/>
      <c r="BQ149" s="1388">
        <f t="shared" si="85"/>
        <v>168909000</v>
      </c>
      <c r="BR149" s="1388">
        <f>+ROUND(BN149*0.02,0)+BN149</f>
        <v>172287180</v>
      </c>
      <c r="BS149" s="1395"/>
      <c r="BT149" s="1395"/>
      <c r="BU149" s="1395">
        <f t="shared" si="86"/>
        <v>172287180</v>
      </c>
      <c r="BV149" s="1388">
        <f>+ROUND(BR149*0.02,0)+BR149</f>
        <v>175732924</v>
      </c>
      <c r="BW149" s="1388"/>
      <c r="BX149" s="1388"/>
      <c r="BY149" s="1388">
        <f t="shared" si="87"/>
        <v>175732924</v>
      </c>
      <c r="BZ149" s="1432">
        <f>+AW149+BG149+BU149+BY149</f>
        <v>786767352</v>
      </c>
      <c r="CA149" s="1401">
        <f>+BH149+AX149</f>
        <v>404340041</v>
      </c>
      <c r="CB149" s="1434">
        <f>+CA149/BZ149*100</f>
        <v>51.392580026630284</v>
      </c>
      <c r="CC149" s="1436" t="s">
        <v>1006</v>
      </c>
      <c r="CD149" s="1740" t="s">
        <v>1178</v>
      </c>
      <c r="CE149" s="528"/>
      <c r="CF149" s="528"/>
      <c r="CG149" s="529"/>
      <c r="CL149" s="517">
        <v>14299811</v>
      </c>
      <c r="CX149" s="911">
        <f t="shared" si="82"/>
        <v>89941378</v>
      </c>
      <c r="CY149" s="1054"/>
      <c r="CZ149" s="1059"/>
      <c r="DA149" s="63"/>
      <c r="DB149" s="1070"/>
    </row>
    <row r="150" spans="1:107" s="64" customFormat="1" ht="135" x14ac:dyDescent="0.2">
      <c r="A150" s="18"/>
      <c r="C150" s="525"/>
      <c r="D150" s="525"/>
      <c r="E150" s="524"/>
      <c r="F150" s="525"/>
      <c r="G150" s="525"/>
      <c r="H150" s="525"/>
      <c r="I150" s="525"/>
      <c r="J150" s="1475"/>
      <c r="K150" s="1504"/>
      <c r="L150" s="615"/>
      <c r="M150" s="520"/>
      <c r="N150" s="520"/>
      <c r="O150" s="520"/>
      <c r="P150" s="16" t="s">
        <v>185</v>
      </c>
      <c r="Q150" s="568">
        <v>30</v>
      </c>
      <c r="R150" s="568">
        <v>30</v>
      </c>
      <c r="S150" s="568">
        <v>30</v>
      </c>
      <c r="T150" s="568">
        <v>30</v>
      </c>
      <c r="U150" s="16" t="s">
        <v>783</v>
      </c>
      <c r="V150" s="744" t="s">
        <v>147</v>
      </c>
      <c r="W150" s="804">
        <v>28</v>
      </c>
      <c r="X150" s="804">
        <v>28</v>
      </c>
      <c r="Y150" s="1089">
        <v>30</v>
      </c>
      <c r="Z150" s="881" t="s">
        <v>1130</v>
      </c>
      <c r="AA150" s="880">
        <f>+Y150</f>
        <v>30</v>
      </c>
      <c r="AB150" s="223">
        <v>30</v>
      </c>
      <c r="AC150" s="1136">
        <v>14.73</v>
      </c>
      <c r="AD150" s="223">
        <f>(((AC150/AB150*100)*AM150)/100)</f>
        <v>14.73</v>
      </c>
      <c r="AE150" s="1121" t="s">
        <v>1318</v>
      </c>
      <c r="AF150" s="223">
        <v>49.1</v>
      </c>
      <c r="AG150" s="223">
        <v>33</v>
      </c>
      <c r="AH150" s="223">
        <v>36</v>
      </c>
      <c r="AI150" s="425">
        <f>+(W150+AB150+AG150+AH150)/4</f>
        <v>31.75</v>
      </c>
      <c r="AJ150" s="1136">
        <f>+X150+AC150</f>
        <v>42.730000000000004</v>
      </c>
      <c r="AK150" s="541">
        <v>25</v>
      </c>
      <c r="AL150" s="1342">
        <v>30</v>
      </c>
      <c r="AM150" s="1342">
        <v>30</v>
      </c>
      <c r="AN150" s="564" t="s">
        <v>798</v>
      </c>
      <c r="AO150" s="1530"/>
      <c r="AP150" s="1530"/>
      <c r="AQ150" s="1530">
        <f t="shared" si="83"/>
        <v>0</v>
      </c>
      <c r="AR150" s="1427"/>
      <c r="AS150" s="1533"/>
      <c r="AT150" s="1427"/>
      <c r="AU150" s="1420"/>
      <c r="AV150" s="1420"/>
      <c r="AW150" s="1420">
        <f t="shared" si="88"/>
        <v>0</v>
      </c>
      <c r="AX150" s="1414"/>
      <c r="AY150" s="1408" t="e">
        <f>+AX150/AR150*100</f>
        <v>#DIV/0!</v>
      </c>
      <c r="AZ150" s="1405"/>
      <c r="BA150" s="1424" t="e">
        <f>+AZ150/AT150*100</f>
        <v>#DIV/0!</v>
      </c>
      <c r="BB150" s="1405"/>
      <c r="BC150" s="1408" t="e">
        <f>+BB150/AY150*100</f>
        <v>#DIV/0!</v>
      </c>
      <c r="BD150" s="1389"/>
      <c r="BE150" s="1538"/>
      <c r="BF150" s="1538"/>
      <c r="BG150" s="1389">
        <f t="shared" si="84"/>
        <v>0</v>
      </c>
      <c r="BH150" s="1389"/>
      <c r="BI150" s="1389"/>
      <c r="BJ150" s="1389"/>
      <c r="BK150" s="1389"/>
      <c r="BL150" s="1389"/>
      <c r="BM150" s="1389"/>
      <c r="BN150" s="1389"/>
      <c r="BO150" s="1538"/>
      <c r="BP150" s="1538"/>
      <c r="BQ150" s="1389">
        <f t="shared" si="85"/>
        <v>0</v>
      </c>
      <c r="BR150" s="1389"/>
      <c r="BS150" s="1395"/>
      <c r="BT150" s="1395"/>
      <c r="BU150" s="1395">
        <f t="shared" si="86"/>
        <v>0</v>
      </c>
      <c r="BV150" s="1389"/>
      <c r="BW150" s="1389"/>
      <c r="BX150" s="1389"/>
      <c r="BY150" s="1389">
        <f t="shared" si="87"/>
        <v>0</v>
      </c>
      <c r="BZ150" s="1433"/>
      <c r="CA150" s="1402"/>
      <c r="CB150" s="1435" t="e">
        <f>+CA150/BX150*100</f>
        <v>#DIV/0!</v>
      </c>
      <c r="CC150" s="1437"/>
      <c r="CD150" s="1741"/>
      <c r="CE150" s="528"/>
      <c r="CF150" s="528"/>
      <c r="CG150" s="529"/>
      <c r="CL150" s="522"/>
      <c r="CX150" s="911">
        <f t="shared" si="82"/>
        <v>0</v>
      </c>
      <c r="CY150" s="1011"/>
    </row>
    <row r="151" spans="1:107" s="64" customFormat="1" ht="101.25" x14ac:dyDescent="0.2">
      <c r="A151" s="18"/>
      <c r="C151" s="525"/>
      <c r="D151" s="525"/>
      <c r="E151" s="524"/>
      <c r="F151" s="525"/>
      <c r="G151" s="525"/>
      <c r="H151" s="525"/>
      <c r="I151" s="525"/>
      <c r="J151" s="1522"/>
      <c r="K151" s="1505"/>
      <c r="L151" s="208"/>
      <c r="M151" s="521"/>
      <c r="N151" s="521"/>
      <c r="O151" s="521"/>
      <c r="P151" s="16" t="s">
        <v>683</v>
      </c>
      <c r="Q151" s="568">
        <v>20</v>
      </c>
      <c r="R151" s="568">
        <v>20</v>
      </c>
      <c r="S151" s="568">
        <v>20</v>
      </c>
      <c r="T151" s="568">
        <v>20</v>
      </c>
      <c r="U151" s="16" t="s">
        <v>722</v>
      </c>
      <c r="V151" s="744" t="s">
        <v>147</v>
      </c>
      <c r="W151" s="804">
        <v>90</v>
      </c>
      <c r="X151" s="804">
        <v>100</v>
      </c>
      <c r="Y151" s="1089">
        <v>20</v>
      </c>
      <c r="Z151" s="881" t="s">
        <v>1131</v>
      </c>
      <c r="AA151" s="880">
        <f>+Y151</f>
        <v>20</v>
      </c>
      <c r="AB151" s="223">
        <v>90</v>
      </c>
      <c r="AC151" s="223">
        <v>85</v>
      </c>
      <c r="AD151" s="223">
        <f>(((AC151/AB151*100)*AM151)/100)</f>
        <v>18.888888888888889</v>
      </c>
      <c r="AE151" s="1121" t="s">
        <v>1319</v>
      </c>
      <c r="AF151" s="223">
        <v>85</v>
      </c>
      <c r="AG151" s="223">
        <v>90</v>
      </c>
      <c r="AH151" s="223">
        <v>90</v>
      </c>
      <c r="AI151" s="425">
        <v>90</v>
      </c>
      <c r="AJ151" s="1136">
        <f>+X151+AC151</f>
        <v>185</v>
      </c>
      <c r="AK151" s="541">
        <v>25</v>
      </c>
      <c r="AL151" s="1342">
        <v>20</v>
      </c>
      <c r="AM151" s="1352">
        <v>20</v>
      </c>
      <c r="AN151" s="538"/>
      <c r="AO151" s="1531"/>
      <c r="AP151" s="1531"/>
      <c r="AQ151" s="1531">
        <f t="shared" si="83"/>
        <v>0</v>
      </c>
      <c r="AR151" s="1428"/>
      <c r="AS151" s="1534"/>
      <c r="AT151" s="1428"/>
      <c r="AU151" s="1421"/>
      <c r="AV151" s="1421"/>
      <c r="AW151" s="1421">
        <f t="shared" si="88"/>
        <v>0</v>
      </c>
      <c r="AX151" s="1415"/>
      <c r="AY151" s="1409" t="e">
        <f>+AX151/AR151*100</f>
        <v>#DIV/0!</v>
      </c>
      <c r="AZ151" s="1406"/>
      <c r="BA151" s="1425" t="e">
        <f>+AZ151/AT151*100</f>
        <v>#DIV/0!</v>
      </c>
      <c r="BB151" s="1406"/>
      <c r="BC151" s="1409" t="e">
        <f>+BB151/AY151*100</f>
        <v>#DIV/0!</v>
      </c>
      <c r="BD151" s="1390"/>
      <c r="BE151" s="1539"/>
      <c r="BF151" s="1539"/>
      <c r="BG151" s="1390">
        <f t="shared" si="84"/>
        <v>0</v>
      </c>
      <c r="BH151" s="1390"/>
      <c r="BI151" s="1390"/>
      <c r="BJ151" s="1390"/>
      <c r="BK151" s="1390"/>
      <c r="BL151" s="1390"/>
      <c r="BM151" s="1390"/>
      <c r="BN151" s="1390"/>
      <c r="BO151" s="1539"/>
      <c r="BP151" s="1539"/>
      <c r="BQ151" s="1390">
        <f t="shared" si="85"/>
        <v>0</v>
      </c>
      <c r="BR151" s="1390"/>
      <c r="BS151" s="1395"/>
      <c r="BT151" s="1395"/>
      <c r="BU151" s="1395">
        <f t="shared" si="86"/>
        <v>0</v>
      </c>
      <c r="BV151" s="1390"/>
      <c r="BW151" s="1390"/>
      <c r="BX151" s="1390"/>
      <c r="BY151" s="1390">
        <f t="shared" si="87"/>
        <v>0</v>
      </c>
      <c r="BZ151" s="1440"/>
      <c r="CA151" s="1403"/>
      <c r="CB151" s="1438" t="e">
        <f>+CA151/BX151*100</f>
        <v>#DIV/0!</v>
      </c>
      <c r="CC151" s="1439"/>
      <c r="CD151" s="1742"/>
      <c r="CE151" s="528"/>
      <c r="CF151" s="528"/>
      <c r="CG151" s="529"/>
      <c r="CL151" s="518"/>
      <c r="CX151" s="911">
        <f t="shared" si="82"/>
        <v>0</v>
      </c>
      <c r="CY151" s="1011"/>
    </row>
    <row r="152" spans="1:107" s="815" customFormat="1" ht="67.5" x14ac:dyDescent="0.2">
      <c r="A152" s="814" t="s">
        <v>105</v>
      </c>
      <c r="C152" s="848"/>
      <c r="D152" s="848"/>
      <c r="E152" s="832"/>
      <c r="F152" s="848"/>
      <c r="G152" s="848"/>
      <c r="H152" s="848"/>
      <c r="I152" s="848"/>
      <c r="J152" s="1138" t="s">
        <v>1112</v>
      </c>
      <c r="K152" s="1283"/>
      <c r="L152" s="1209">
        <v>2</v>
      </c>
      <c r="M152" s="1209">
        <v>2</v>
      </c>
      <c r="N152" s="1209">
        <v>2</v>
      </c>
      <c r="O152" s="1209">
        <v>2</v>
      </c>
      <c r="P152" s="1138"/>
      <c r="Q152" s="1227"/>
      <c r="R152" s="1227"/>
      <c r="S152" s="1227"/>
      <c r="T152" s="1227"/>
      <c r="U152" s="1227"/>
      <c r="V152" s="1228"/>
      <c r="W152" s="1229"/>
      <c r="X152" s="1229"/>
      <c r="Y152" s="1139">
        <f>((((Y153)/1)*AL152)/100)</f>
        <v>0</v>
      </c>
      <c r="Z152" s="1139"/>
      <c r="AA152" s="1139">
        <f>((((AA153)/1)*AL152)/100)</f>
        <v>0</v>
      </c>
      <c r="AB152" s="1139"/>
      <c r="AC152" s="1139"/>
      <c r="AD152" s="1139">
        <f>((((AD153)/1)*AM152)/100)</f>
        <v>0</v>
      </c>
      <c r="AE152" s="1139"/>
      <c r="AF152" s="1139">
        <f>((((AF153)/1)*AM152)/100)</f>
        <v>0</v>
      </c>
      <c r="AG152" s="1139"/>
      <c r="AH152" s="1139"/>
      <c r="AI152" s="1139"/>
      <c r="AJ152" s="1139"/>
      <c r="AK152" s="1139">
        <f>((AK153)/1)</f>
        <v>0</v>
      </c>
      <c r="AL152" s="1139">
        <f>+L152</f>
        <v>2</v>
      </c>
      <c r="AM152" s="1139">
        <v>2</v>
      </c>
      <c r="AN152" s="1139"/>
      <c r="AO152" s="821">
        <f>+AO153</f>
        <v>10000000</v>
      </c>
      <c r="AP152" s="821">
        <f>+AP153</f>
        <v>0</v>
      </c>
      <c r="AQ152" s="821">
        <f t="shared" si="83"/>
        <v>10000000</v>
      </c>
      <c r="AR152" s="822">
        <f>+AR153</f>
        <v>10000000</v>
      </c>
      <c r="AS152" s="822">
        <f>+AS153</f>
        <v>0</v>
      </c>
      <c r="AT152" s="822">
        <f>+AT153</f>
        <v>10000000</v>
      </c>
      <c r="AU152" s="823">
        <f>+AU153</f>
        <v>10000000</v>
      </c>
      <c r="AV152" s="823">
        <f>+AV153</f>
        <v>0</v>
      </c>
      <c r="AW152" s="823">
        <f t="shared" si="88"/>
        <v>10000000</v>
      </c>
      <c r="AX152" s="824">
        <f>+AX153</f>
        <v>39841</v>
      </c>
      <c r="AY152" s="825">
        <f>+AX152/AW152*100</f>
        <v>0.39840999999999999</v>
      </c>
      <c r="AZ152" s="826">
        <f>+AZ153</f>
        <v>0</v>
      </c>
      <c r="BA152" s="825">
        <f>+AZ152/AW152*100</f>
        <v>0</v>
      </c>
      <c r="BB152" s="826">
        <f>+BB153</f>
        <v>0</v>
      </c>
      <c r="BC152" s="825">
        <f>+BB152/AW152*100</f>
        <v>0</v>
      </c>
      <c r="BD152" s="947">
        <f>+BD153</f>
        <v>15000000</v>
      </c>
      <c r="BE152" s="947">
        <f>+BE153</f>
        <v>0</v>
      </c>
      <c r="BF152" s="947">
        <f>+BF153</f>
        <v>0</v>
      </c>
      <c r="BG152" s="947">
        <f t="shared" si="84"/>
        <v>15000000</v>
      </c>
      <c r="BH152" s="947">
        <f>+BH153</f>
        <v>0</v>
      </c>
      <c r="BI152" s="947">
        <f t="shared" ref="BI152:BI157" si="89">+BH152/BG152*100</f>
        <v>0</v>
      </c>
      <c r="BJ152" s="947">
        <f>+BJ153</f>
        <v>0</v>
      </c>
      <c r="BK152" s="947">
        <f t="shared" ref="BK152:BK158" si="90">+BJ152/BG152*100</f>
        <v>0</v>
      </c>
      <c r="BL152" s="947">
        <f>+BL153</f>
        <v>0</v>
      </c>
      <c r="BM152" s="947">
        <f t="shared" ref="BM152:BM157" si="91">+BL152/BG152*100</f>
        <v>0</v>
      </c>
      <c r="BN152" s="947">
        <f>+BN153</f>
        <v>15000000</v>
      </c>
      <c r="BO152" s="947">
        <f>+BO153</f>
        <v>0</v>
      </c>
      <c r="BP152" s="947">
        <f>+BP153</f>
        <v>0</v>
      </c>
      <c r="BQ152" s="947">
        <f t="shared" si="85"/>
        <v>15000000</v>
      </c>
      <c r="BR152" s="947">
        <f>+BR153</f>
        <v>15000000</v>
      </c>
      <c r="BS152" s="947">
        <f>+BS153</f>
        <v>0</v>
      </c>
      <c r="BT152" s="947">
        <f>+BT153</f>
        <v>0</v>
      </c>
      <c r="BU152" s="947">
        <f t="shared" si="86"/>
        <v>15000000</v>
      </c>
      <c r="BV152" s="947">
        <f>+BV153</f>
        <v>15000000</v>
      </c>
      <c r="BW152" s="947">
        <f>+BW153</f>
        <v>0</v>
      </c>
      <c r="BX152" s="947">
        <f>+BX153</f>
        <v>0</v>
      </c>
      <c r="BY152" s="947">
        <f t="shared" si="87"/>
        <v>15000000</v>
      </c>
      <c r="BZ152" s="948">
        <f>+BZ153</f>
        <v>55000000</v>
      </c>
      <c r="CA152" s="948">
        <f>+CA153</f>
        <v>39841</v>
      </c>
      <c r="CB152" s="949">
        <f>+CA152/BZ152*100</f>
        <v>7.2438181818181818E-2</v>
      </c>
      <c r="CC152" s="827"/>
      <c r="CD152" s="825"/>
      <c r="CE152" s="828"/>
      <c r="CF152" s="834">
        <f>+BZ153</f>
        <v>55000000</v>
      </c>
      <c r="CG152" s="829"/>
      <c r="CL152" s="821"/>
      <c r="CX152" s="911">
        <f t="shared" si="82"/>
        <v>0</v>
      </c>
      <c r="CY152" s="1009"/>
      <c r="DA152" s="846"/>
    </row>
    <row r="153" spans="1:107" s="86" customFormat="1" ht="112.5" x14ac:dyDescent="0.2">
      <c r="A153" s="23"/>
      <c r="C153" s="539"/>
      <c r="D153" s="539"/>
      <c r="E153" s="524"/>
      <c r="F153" s="539"/>
      <c r="G153" s="539"/>
      <c r="H153" s="539"/>
      <c r="I153" s="539"/>
      <c r="J153" s="641"/>
      <c r="K153" s="16" t="s">
        <v>421</v>
      </c>
      <c r="L153" s="642"/>
      <c r="M153" s="23"/>
      <c r="N153" s="23"/>
      <c r="O153" s="23"/>
      <c r="P153" s="16" t="s">
        <v>615</v>
      </c>
      <c r="Q153" s="568">
        <v>100</v>
      </c>
      <c r="R153" s="568">
        <v>100</v>
      </c>
      <c r="S153" s="568">
        <v>100</v>
      </c>
      <c r="T153" s="568">
        <v>100</v>
      </c>
      <c r="U153" s="876" t="s">
        <v>614</v>
      </c>
      <c r="V153" s="877" t="s">
        <v>137</v>
      </c>
      <c r="W153" s="379">
        <v>1</v>
      </c>
      <c r="X153" s="379">
        <v>0</v>
      </c>
      <c r="Y153" s="1379">
        <f>+X153/W153*100</f>
        <v>0</v>
      </c>
      <c r="Z153" s="881" t="s">
        <v>1132</v>
      </c>
      <c r="AA153" s="885">
        <v>0</v>
      </c>
      <c r="AB153" s="592">
        <v>1</v>
      </c>
      <c r="AC153" s="592">
        <v>0</v>
      </c>
      <c r="AD153" s="223">
        <f>(((AC153/AB153*100)*AM153)/100)</f>
        <v>0</v>
      </c>
      <c r="AE153" s="398" t="s">
        <v>1337</v>
      </c>
      <c r="AF153" s="592">
        <v>0</v>
      </c>
      <c r="AG153" s="592">
        <v>1</v>
      </c>
      <c r="AH153" s="592">
        <v>1</v>
      </c>
      <c r="AI153" s="592">
        <f>+W153+AB153+AG153+AH153</f>
        <v>4</v>
      </c>
      <c r="AJ153" s="1136">
        <f>+X153+AC153</f>
        <v>0</v>
      </c>
      <c r="AK153" s="566">
        <f>+AJ153/AI153*100</f>
        <v>0</v>
      </c>
      <c r="AL153" s="1353">
        <v>100</v>
      </c>
      <c r="AM153" s="1353">
        <v>100</v>
      </c>
      <c r="AN153" s="644"/>
      <c r="AO153" s="196">
        <v>10000000</v>
      </c>
      <c r="AP153" s="196"/>
      <c r="AQ153" s="196">
        <f t="shared" si="83"/>
        <v>10000000</v>
      </c>
      <c r="AR153" s="645">
        <v>10000000</v>
      </c>
      <c r="AS153" s="645"/>
      <c r="AT153" s="645">
        <f>+AS153+AR153</f>
        <v>10000000</v>
      </c>
      <c r="AU153" s="718">
        <v>10000000</v>
      </c>
      <c r="AV153" s="718"/>
      <c r="AW153" s="718">
        <f t="shared" si="88"/>
        <v>10000000</v>
      </c>
      <c r="AX153" s="778">
        <v>39841</v>
      </c>
      <c r="AY153" s="676">
        <f>+AX153/AW153*100</f>
        <v>0.39840999999999999</v>
      </c>
      <c r="AZ153" s="672">
        <v>0</v>
      </c>
      <c r="BA153" s="676">
        <f>+AZ153/AW153*100</f>
        <v>0</v>
      </c>
      <c r="BB153" s="672">
        <v>0</v>
      </c>
      <c r="BC153" s="676">
        <f>+BB153/AW153*100</f>
        <v>0</v>
      </c>
      <c r="BD153" s="1031">
        <v>15000000</v>
      </c>
      <c r="BE153" s="1031">
        <v>0</v>
      </c>
      <c r="BF153" s="1031">
        <v>0</v>
      </c>
      <c r="BG153" s="1031">
        <f t="shared" si="84"/>
        <v>15000000</v>
      </c>
      <c r="BH153" s="1031">
        <v>0</v>
      </c>
      <c r="BI153" s="1031">
        <f t="shared" si="89"/>
        <v>0</v>
      </c>
      <c r="BJ153" s="1034">
        <v>0</v>
      </c>
      <c r="BK153" s="1031">
        <f t="shared" si="90"/>
        <v>0</v>
      </c>
      <c r="BL153" s="1034">
        <v>0</v>
      </c>
      <c r="BM153" s="964">
        <f>+BL153/BG153*100</f>
        <v>0</v>
      </c>
      <c r="BN153" s="964">
        <v>15000000</v>
      </c>
      <c r="BO153" s="964">
        <v>0</v>
      </c>
      <c r="BP153" s="964">
        <v>0</v>
      </c>
      <c r="BQ153" s="964">
        <f t="shared" si="85"/>
        <v>15000000</v>
      </c>
      <c r="BR153" s="964">
        <v>15000000</v>
      </c>
      <c r="BS153" s="964"/>
      <c r="BT153" s="964"/>
      <c r="BU153" s="964">
        <f t="shared" si="86"/>
        <v>15000000</v>
      </c>
      <c r="BV153" s="964">
        <v>15000000</v>
      </c>
      <c r="BW153" s="964"/>
      <c r="BX153" s="964"/>
      <c r="BY153" s="964">
        <f t="shared" si="87"/>
        <v>15000000</v>
      </c>
      <c r="BZ153" s="967">
        <f>+AW153+BG153+BU153+BY153</f>
        <v>55000000</v>
      </c>
      <c r="CA153" s="967">
        <f>+BH153+AX153</f>
        <v>39841</v>
      </c>
      <c r="CB153" s="966">
        <f>+CA153/BZ153*100</f>
        <v>7.2438181818181818E-2</v>
      </c>
      <c r="CC153" s="910"/>
      <c r="CD153" s="1035"/>
      <c r="CE153" s="528"/>
      <c r="CF153" s="528"/>
      <c r="CG153" s="544"/>
      <c r="CL153" s="196"/>
      <c r="CX153" s="911">
        <f t="shared" si="82"/>
        <v>0</v>
      </c>
      <c r="CY153" s="1010"/>
      <c r="DA153" s="64"/>
    </row>
    <row r="154" spans="1:107" s="815" customFormat="1" ht="78.75" x14ac:dyDescent="0.2">
      <c r="A154" s="819" t="s">
        <v>106</v>
      </c>
      <c r="C154" s="848"/>
      <c r="D154" s="848"/>
      <c r="E154" s="832"/>
      <c r="F154" s="848"/>
      <c r="G154" s="848"/>
      <c r="H154" s="848"/>
      <c r="I154" s="848"/>
      <c r="J154" s="1138" t="s">
        <v>869</v>
      </c>
      <c r="K154" s="1205"/>
      <c r="L154" s="1284">
        <v>13</v>
      </c>
      <c r="M154" s="1284">
        <v>10</v>
      </c>
      <c r="N154" s="1284">
        <v>10</v>
      </c>
      <c r="O154" s="1284">
        <v>10</v>
      </c>
      <c r="P154" s="1138"/>
      <c r="Q154" s="1227"/>
      <c r="R154" s="1227"/>
      <c r="S154" s="1227"/>
      <c r="T154" s="1227"/>
      <c r="U154" s="1227"/>
      <c r="V154" s="1228"/>
      <c r="W154" s="1229"/>
      <c r="X154" s="1229"/>
      <c r="Y154" s="1139">
        <f>(((Y155+Y156)*AL154)/100)</f>
        <v>13</v>
      </c>
      <c r="Z154" s="1139"/>
      <c r="AA154" s="1139">
        <f>((((AA155+AA156)/2)*AL154)/100)</f>
        <v>6.5</v>
      </c>
      <c r="AB154" s="1139"/>
      <c r="AC154" s="1139"/>
      <c r="AD154" s="1139">
        <f>(((AD155+AD156)*AM154)/100)</f>
        <v>2.5</v>
      </c>
      <c r="AE154" s="1139"/>
      <c r="AF154" s="1139">
        <f>(AF155+AF156)/2</f>
        <v>50</v>
      </c>
      <c r="AG154" s="1139"/>
      <c r="AH154" s="1139"/>
      <c r="AI154" s="1139"/>
      <c r="AJ154" s="1139"/>
      <c r="AK154" s="1139">
        <f>((AK155+AK156)/2)</f>
        <v>31.25</v>
      </c>
      <c r="AL154" s="1139">
        <f>+L154</f>
        <v>13</v>
      </c>
      <c r="AM154" s="1139">
        <v>10</v>
      </c>
      <c r="AN154" s="1139"/>
      <c r="AO154" s="821">
        <f>SUM(AO155:AO156)</f>
        <v>100000000</v>
      </c>
      <c r="AP154" s="821">
        <f>SUM(AP155:AP156)</f>
        <v>0</v>
      </c>
      <c r="AQ154" s="821">
        <f t="shared" si="83"/>
        <v>100000000</v>
      </c>
      <c r="AR154" s="822">
        <f>+AR155</f>
        <v>150000000</v>
      </c>
      <c r="AS154" s="822">
        <f>+AS155</f>
        <v>0</v>
      </c>
      <c r="AT154" s="822">
        <f>+AT155</f>
        <v>150000000</v>
      </c>
      <c r="AU154" s="823">
        <f>SUM(AU155:AU156)</f>
        <v>290000000</v>
      </c>
      <c r="AV154" s="823">
        <f>SUM(AV155:AV156)</f>
        <v>0</v>
      </c>
      <c r="AW154" s="823">
        <f t="shared" si="88"/>
        <v>290000000</v>
      </c>
      <c r="AX154" s="824">
        <f>+AX155</f>
        <v>130298396</v>
      </c>
      <c r="AY154" s="825">
        <f>+AX154/AW154*100</f>
        <v>44.930481379310343</v>
      </c>
      <c r="AZ154" s="826">
        <f>+AZ155</f>
        <v>111967018</v>
      </c>
      <c r="BA154" s="825">
        <f>+AZ154/AW154*100</f>
        <v>38.609316551724135</v>
      </c>
      <c r="BB154" s="826">
        <f>+BB155</f>
        <v>111967018</v>
      </c>
      <c r="BC154" s="825">
        <f>+BB154/AW154*100</f>
        <v>38.609316551724135</v>
      </c>
      <c r="BD154" s="947">
        <f>SUM(BD155:BD156)</f>
        <v>124129077</v>
      </c>
      <c r="BE154" s="947">
        <f>SUM(BE155:BE156)</f>
        <v>0</v>
      </c>
      <c r="BF154" s="947">
        <f>SUM(BF155:BF156)</f>
        <v>0</v>
      </c>
      <c r="BG154" s="947">
        <f t="shared" si="84"/>
        <v>124129077</v>
      </c>
      <c r="BH154" s="947">
        <f>SUM(BH155:BH156)</f>
        <v>76248833</v>
      </c>
      <c r="BI154" s="947">
        <f t="shared" si="89"/>
        <v>61.427052261091085</v>
      </c>
      <c r="BJ154" s="947">
        <f>SUM(BJ155:BJ156)</f>
        <v>35259886</v>
      </c>
      <c r="BK154" s="947">
        <f t="shared" si="90"/>
        <v>28.405823077215018</v>
      </c>
      <c r="BL154" s="947">
        <f>SUM(BL155:BL156)</f>
        <v>35259886</v>
      </c>
      <c r="BM154" s="947">
        <f t="shared" si="91"/>
        <v>28.405823077215018</v>
      </c>
      <c r="BN154" s="947">
        <f>SUM(BN155:BN156)</f>
        <v>132000000</v>
      </c>
      <c r="BO154" s="947">
        <f>SUM(BO155:BO156)</f>
        <v>0</v>
      </c>
      <c r="BP154" s="947">
        <f>SUM(BP155:BP156)</f>
        <v>0</v>
      </c>
      <c r="BQ154" s="947">
        <f t="shared" si="85"/>
        <v>132000000</v>
      </c>
      <c r="BR154" s="947">
        <f>SUM(BR155:BR156)</f>
        <v>165000000</v>
      </c>
      <c r="BS154" s="947">
        <f>SUM(BS155:BS156)</f>
        <v>0</v>
      </c>
      <c r="BT154" s="947">
        <f>SUM(BT155:BT156)</f>
        <v>0</v>
      </c>
      <c r="BU154" s="947">
        <f t="shared" si="86"/>
        <v>165000000</v>
      </c>
      <c r="BV154" s="947">
        <f>SUM(BV155:BV156)</f>
        <v>199234000</v>
      </c>
      <c r="BW154" s="947">
        <f>SUM(BW155:BW156)</f>
        <v>0</v>
      </c>
      <c r="BX154" s="947">
        <f>SUM(BX155:BX156)</f>
        <v>0</v>
      </c>
      <c r="BY154" s="947">
        <f t="shared" si="87"/>
        <v>199234000</v>
      </c>
      <c r="BZ154" s="948">
        <f>+BZ155</f>
        <v>778363077</v>
      </c>
      <c r="CA154" s="948">
        <f>+CA155</f>
        <v>206547229</v>
      </c>
      <c r="CB154" s="949">
        <f>+CA154/BZ154*100</f>
        <v>26.536103150740797</v>
      </c>
      <c r="CC154" s="827"/>
      <c r="CD154" s="825"/>
      <c r="CE154" s="828"/>
      <c r="CF154" s="834">
        <f>SUM(BZ155:BZ156)</f>
        <v>778363077</v>
      </c>
      <c r="CG154" s="829">
        <v>50000000</v>
      </c>
      <c r="CL154" s="821"/>
      <c r="CX154" s="911">
        <f t="shared" si="82"/>
        <v>-7870923</v>
      </c>
      <c r="CY154" s="1009"/>
      <c r="DA154" s="846"/>
    </row>
    <row r="155" spans="1:107" s="64" customFormat="1" ht="123.75" x14ac:dyDescent="0.2">
      <c r="A155" s="16" t="s">
        <v>107</v>
      </c>
      <c r="C155" s="525"/>
      <c r="D155" s="525"/>
      <c r="E155" s="524"/>
      <c r="F155" s="525"/>
      <c r="G155" s="525"/>
      <c r="H155" s="525"/>
      <c r="I155" s="525"/>
      <c r="J155" s="1521"/>
      <c r="K155" s="1535" t="s">
        <v>421</v>
      </c>
      <c r="L155" s="615"/>
      <c r="M155" s="520"/>
      <c r="N155" s="520"/>
      <c r="O155" s="520"/>
      <c r="P155" s="16" t="s">
        <v>381</v>
      </c>
      <c r="Q155" s="559">
        <v>50</v>
      </c>
      <c r="R155" s="559">
        <v>50</v>
      </c>
      <c r="S155" s="559">
        <v>50</v>
      </c>
      <c r="T155" s="559">
        <v>50</v>
      </c>
      <c r="U155" s="750" t="s">
        <v>723</v>
      </c>
      <c r="V155" s="643" t="s">
        <v>137</v>
      </c>
      <c r="W155" s="592">
        <v>1</v>
      </c>
      <c r="X155" s="592">
        <v>1</v>
      </c>
      <c r="Y155" s="1113">
        <v>50</v>
      </c>
      <c r="Z155" s="564" t="s">
        <v>1092</v>
      </c>
      <c r="AA155" s="77">
        <v>50</v>
      </c>
      <c r="AB155" s="592">
        <v>1</v>
      </c>
      <c r="AC155" s="592">
        <v>0</v>
      </c>
      <c r="AD155" s="223">
        <f>(((AC155/AB155*100)*AM155)/100)</f>
        <v>0</v>
      </c>
      <c r="AE155" s="564" t="s">
        <v>1224</v>
      </c>
      <c r="AF155" s="592">
        <v>50</v>
      </c>
      <c r="AG155" s="592">
        <v>1</v>
      </c>
      <c r="AH155" s="592">
        <v>1</v>
      </c>
      <c r="AI155" s="592">
        <v>1</v>
      </c>
      <c r="AJ155" s="1136">
        <f>+X155+AC155</f>
        <v>1</v>
      </c>
      <c r="AK155" s="566">
        <v>25</v>
      </c>
      <c r="AL155" s="1353">
        <v>50</v>
      </c>
      <c r="AM155" s="1353">
        <v>50</v>
      </c>
      <c r="AN155" s="509"/>
      <c r="AO155" s="183">
        <v>65000000</v>
      </c>
      <c r="AP155" s="183"/>
      <c r="AQ155" s="183">
        <f t="shared" si="83"/>
        <v>65000000</v>
      </c>
      <c r="AR155" s="1426">
        <v>150000000</v>
      </c>
      <c r="AS155" s="1426"/>
      <c r="AT155" s="1426">
        <f>+AR155+AS155</f>
        <v>150000000</v>
      </c>
      <c r="AU155" s="1419">
        <v>290000000</v>
      </c>
      <c r="AV155" s="1419"/>
      <c r="AW155" s="1419">
        <f t="shared" si="88"/>
        <v>290000000</v>
      </c>
      <c r="AX155" s="1413">
        <v>130298396</v>
      </c>
      <c r="AY155" s="1407">
        <f>+AX155/AW155*100</f>
        <v>44.930481379310343</v>
      </c>
      <c r="AZ155" s="1404">
        <v>111967018</v>
      </c>
      <c r="BA155" s="1407">
        <f>+AZ155/AW155*100</f>
        <v>38.609316551724135</v>
      </c>
      <c r="BB155" s="1404">
        <v>111967018</v>
      </c>
      <c r="BC155" s="1407">
        <f>+BB155/AW155*100</f>
        <v>38.609316551724135</v>
      </c>
      <c r="BD155" s="1031">
        <f>73000000-6813923</f>
        <v>66186077</v>
      </c>
      <c r="BE155" s="1031"/>
      <c r="BF155" s="1031"/>
      <c r="BG155" s="1031">
        <f t="shared" si="84"/>
        <v>66186077</v>
      </c>
      <c r="BH155" s="997">
        <v>43800127</v>
      </c>
      <c r="BI155" s="997">
        <f>+BH155/BG155*100</f>
        <v>66.177252052572939</v>
      </c>
      <c r="BJ155" s="997">
        <v>17736000</v>
      </c>
      <c r="BK155" s="997">
        <f t="shared" si="90"/>
        <v>26.797176693219026</v>
      </c>
      <c r="BL155" s="997">
        <v>17736000</v>
      </c>
      <c r="BM155" s="997">
        <f>+BL155/BG155*100</f>
        <v>26.797176693219026</v>
      </c>
      <c r="BN155" s="964">
        <v>73000000</v>
      </c>
      <c r="BO155" s="964"/>
      <c r="BP155" s="964"/>
      <c r="BQ155" s="964">
        <f t="shared" si="85"/>
        <v>73000000</v>
      </c>
      <c r="BR155" s="964">
        <v>77000000</v>
      </c>
      <c r="BS155" s="964"/>
      <c r="BT155" s="964"/>
      <c r="BU155" s="964">
        <f t="shared" si="86"/>
        <v>77000000</v>
      </c>
      <c r="BV155" s="964">
        <v>81119000</v>
      </c>
      <c r="BW155" s="964"/>
      <c r="BX155" s="964"/>
      <c r="BY155" s="964">
        <f t="shared" si="87"/>
        <v>81119000</v>
      </c>
      <c r="BZ155" s="1432">
        <f>+AW155+BG155+BG156+BU155+BU156+BY155+BY156</f>
        <v>778363077</v>
      </c>
      <c r="CA155" s="1401">
        <f>+BH155+AX155+BH156</f>
        <v>206547229</v>
      </c>
      <c r="CB155" s="1434">
        <f>+CA155/(BZ155+BZ156)*100</f>
        <v>26.536103150740797</v>
      </c>
      <c r="CC155" s="1436" t="s">
        <v>1007</v>
      </c>
      <c r="CD155" s="1740" t="s">
        <v>1194</v>
      </c>
      <c r="CE155" s="528"/>
      <c r="CF155" s="528"/>
      <c r="CG155" s="529"/>
      <c r="CL155" s="517">
        <v>140000000</v>
      </c>
      <c r="CX155" s="911">
        <f t="shared" si="82"/>
        <v>-6813923</v>
      </c>
      <c r="CY155" s="1055"/>
      <c r="CZ155" s="1051"/>
      <c r="DA155" s="1105"/>
      <c r="DB155" s="530"/>
      <c r="DC155" s="530"/>
    </row>
    <row r="156" spans="1:107" s="64" customFormat="1" ht="112.5" x14ac:dyDescent="0.2">
      <c r="A156" s="18" t="s">
        <v>108</v>
      </c>
      <c r="C156" s="525"/>
      <c r="D156" s="525"/>
      <c r="E156" s="524"/>
      <c r="F156" s="525"/>
      <c r="G156" s="525"/>
      <c r="H156" s="525"/>
      <c r="I156" s="525"/>
      <c r="J156" s="1522"/>
      <c r="K156" s="1536"/>
      <c r="L156" s="208"/>
      <c r="M156" s="521"/>
      <c r="N156" s="521"/>
      <c r="O156" s="521"/>
      <c r="P156" s="16" t="s">
        <v>467</v>
      </c>
      <c r="Q156" s="559">
        <v>50</v>
      </c>
      <c r="R156" s="559">
        <v>50</v>
      </c>
      <c r="S156" s="559">
        <v>50</v>
      </c>
      <c r="T156" s="559">
        <v>50</v>
      </c>
      <c r="U156" s="755" t="s">
        <v>724</v>
      </c>
      <c r="V156" s="562" t="s">
        <v>147</v>
      </c>
      <c r="W156" s="563">
        <v>25</v>
      </c>
      <c r="X156" s="563">
        <v>25</v>
      </c>
      <c r="Y156" s="1113">
        <v>50</v>
      </c>
      <c r="Z156" s="1134" t="s">
        <v>1093</v>
      </c>
      <c r="AA156" s="1317">
        <f>+Y156</f>
        <v>50</v>
      </c>
      <c r="AB156" s="563">
        <v>25</v>
      </c>
      <c r="AC156" s="1318">
        <v>12.5</v>
      </c>
      <c r="AD156" s="223">
        <v>25</v>
      </c>
      <c r="AE156" s="564" t="s">
        <v>1225</v>
      </c>
      <c r="AF156" s="563">
        <v>50</v>
      </c>
      <c r="AG156" s="563">
        <v>30</v>
      </c>
      <c r="AH156" s="563">
        <v>20</v>
      </c>
      <c r="AI156" s="592">
        <f>+W156+AB156+AG156+AH156</f>
        <v>100</v>
      </c>
      <c r="AJ156" s="1136">
        <f>+X156+AC156</f>
        <v>37.5</v>
      </c>
      <c r="AK156" s="566">
        <f>+AJ156/AI156*100</f>
        <v>37.5</v>
      </c>
      <c r="AL156" s="1353">
        <v>50</v>
      </c>
      <c r="AM156" s="1353">
        <v>50</v>
      </c>
      <c r="AN156" s="506"/>
      <c r="AO156" s="183">
        <v>35000000</v>
      </c>
      <c r="AP156" s="183"/>
      <c r="AQ156" s="183">
        <f t="shared" si="83"/>
        <v>35000000</v>
      </c>
      <c r="AR156" s="1428"/>
      <c r="AS156" s="1428"/>
      <c r="AT156" s="1428"/>
      <c r="AU156" s="1421"/>
      <c r="AV156" s="1421"/>
      <c r="AW156" s="1421"/>
      <c r="AX156" s="1415"/>
      <c r="AY156" s="1409" t="e">
        <f>+AX156/AR156*100</f>
        <v>#DIV/0!</v>
      </c>
      <c r="AZ156" s="1406"/>
      <c r="BA156" s="1425" t="e">
        <f>+AZ156/AT156*100</f>
        <v>#DIV/0!</v>
      </c>
      <c r="BB156" s="1406"/>
      <c r="BC156" s="1409" t="e">
        <f>+BB156/AY156*100</f>
        <v>#DIV/0!</v>
      </c>
      <c r="BD156" s="1031">
        <f>59000000-1057000</f>
        <v>57943000</v>
      </c>
      <c r="BE156" s="1025"/>
      <c r="BF156" s="1031"/>
      <c r="BG156" s="1031">
        <f t="shared" si="84"/>
        <v>57943000</v>
      </c>
      <c r="BH156" s="997">
        <v>32448706</v>
      </c>
      <c r="BI156" s="997">
        <f>+BH156/BG156*100</f>
        <v>56.001080372089817</v>
      </c>
      <c r="BJ156" s="997">
        <v>17523886</v>
      </c>
      <c r="BK156" s="997">
        <f t="shared" si="90"/>
        <v>30.243318433633053</v>
      </c>
      <c r="BL156" s="997">
        <v>17523886</v>
      </c>
      <c r="BM156" s="997">
        <f>+BL156/BG156*100</f>
        <v>30.243318433633053</v>
      </c>
      <c r="BN156" s="964">
        <v>59000000</v>
      </c>
      <c r="BO156" s="991"/>
      <c r="BP156" s="964"/>
      <c r="BQ156" s="964">
        <f t="shared" si="85"/>
        <v>59000000</v>
      </c>
      <c r="BR156" s="964">
        <v>88000000</v>
      </c>
      <c r="BS156" s="991"/>
      <c r="BT156" s="964"/>
      <c r="BU156" s="964">
        <f t="shared" si="86"/>
        <v>88000000</v>
      </c>
      <c r="BV156" s="964">
        <v>118115000</v>
      </c>
      <c r="BW156" s="964"/>
      <c r="BX156" s="964"/>
      <c r="BY156" s="964">
        <f t="shared" si="87"/>
        <v>118115000</v>
      </c>
      <c r="BZ156" s="1440"/>
      <c r="CA156" s="1403"/>
      <c r="CB156" s="1438" t="e">
        <f>+CA156/BX156*100</f>
        <v>#DIV/0!</v>
      </c>
      <c r="CC156" s="1439"/>
      <c r="CD156" s="1742"/>
      <c r="CE156" s="528"/>
      <c r="CF156" s="528"/>
      <c r="CG156" s="529"/>
      <c r="CL156" s="518"/>
      <c r="CX156" s="911">
        <f t="shared" si="82"/>
        <v>-1057000</v>
      </c>
      <c r="CY156" s="1055"/>
      <c r="CZ156" s="1059"/>
      <c r="DA156" s="1105"/>
      <c r="DB156" s="530"/>
    </row>
    <row r="157" spans="1:107" s="815" customFormat="1" ht="45" customHeight="1" x14ac:dyDescent="0.2">
      <c r="A157" s="819" t="s">
        <v>109</v>
      </c>
      <c r="C157" s="848"/>
      <c r="D157" s="848"/>
      <c r="E157" s="832"/>
      <c r="F157" s="848"/>
      <c r="G157" s="848"/>
      <c r="H157" s="848"/>
      <c r="I157" s="848"/>
      <c r="J157" s="1205" t="s">
        <v>870</v>
      </c>
      <c r="K157" s="1138"/>
      <c r="L157" s="1209">
        <v>15</v>
      </c>
      <c r="M157" s="1209">
        <v>12</v>
      </c>
      <c r="N157" s="1209">
        <v>12</v>
      </c>
      <c r="O157" s="1209">
        <v>12</v>
      </c>
      <c r="P157" s="1285"/>
      <c r="Q157" s="1206"/>
      <c r="R157" s="1206"/>
      <c r="S157" s="1206"/>
      <c r="T157" s="1206"/>
      <c r="U157" s="1206"/>
      <c r="V157" s="1228"/>
      <c r="W157" s="1229"/>
      <c r="X157" s="1229"/>
      <c r="Y157" s="1139">
        <f>((((Y158+Y159+Y160+Y161)/4)*AL157)/100)</f>
        <v>15</v>
      </c>
      <c r="Z157" s="1139"/>
      <c r="AA157" s="1139">
        <f>((((AA158+AA159+AA160+AA161)/4)*AL157)/100)</f>
        <v>10.125</v>
      </c>
      <c r="AB157" s="1139"/>
      <c r="AC157" s="1139"/>
      <c r="AD157" s="1139">
        <f>((((AD158+AD159+AD160+AD161)/4)*AM157)/100)</f>
        <v>1.9909090909090912</v>
      </c>
      <c r="AE157" s="1139"/>
      <c r="AF157" s="1139">
        <f>(AF158+AF159+AF160+AF161)/4</f>
        <v>28</v>
      </c>
      <c r="AG157" s="1139"/>
      <c r="AH157" s="1139"/>
      <c r="AI157" s="1139"/>
      <c r="AJ157" s="1139"/>
      <c r="AK157" s="1139">
        <f>((AK158+AK159+AK160+AK161)/4)</f>
        <v>29.772727272727273</v>
      </c>
      <c r="AL157" s="1139">
        <f>+L157</f>
        <v>15</v>
      </c>
      <c r="AM157" s="1139">
        <v>12</v>
      </c>
      <c r="AN157" s="1139"/>
      <c r="AO157" s="821">
        <f>+AO158</f>
        <v>80000000</v>
      </c>
      <c r="AP157" s="821">
        <f>+AP158</f>
        <v>0</v>
      </c>
      <c r="AQ157" s="821">
        <f t="shared" si="83"/>
        <v>80000000</v>
      </c>
      <c r="AR157" s="822">
        <f>+AR158</f>
        <v>80000000</v>
      </c>
      <c r="AS157" s="822">
        <f>+AS158</f>
        <v>0</v>
      </c>
      <c r="AT157" s="822">
        <f>+AT158</f>
        <v>80000000</v>
      </c>
      <c r="AU157" s="823">
        <f>+AU158</f>
        <v>80000000</v>
      </c>
      <c r="AV157" s="823">
        <f>+AV158</f>
        <v>0</v>
      </c>
      <c r="AW157" s="823">
        <f t="shared" ref="AW157:AW163" si="92">SUM(AU157:AV157)</f>
        <v>80000000</v>
      </c>
      <c r="AX157" s="824">
        <f>+AX158</f>
        <v>79336476</v>
      </c>
      <c r="AY157" s="825">
        <f>+AX157/AW157*100</f>
        <v>99.170594999999992</v>
      </c>
      <c r="AZ157" s="826">
        <f>+AZ158</f>
        <v>62269756</v>
      </c>
      <c r="BA157" s="825">
        <f>+AZ157/AW157*100</f>
        <v>77.837195000000008</v>
      </c>
      <c r="BB157" s="826">
        <f>+BB158</f>
        <v>57985256</v>
      </c>
      <c r="BC157" s="825">
        <f>+BB157/AW157*100</f>
        <v>72.481569999999991</v>
      </c>
      <c r="BD157" s="947">
        <f>+BD158</f>
        <v>104535976</v>
      </c>
      <c r="BE157" s="947">
        <f>+BE158</f>
        <v>0</v>
      </c>
      <c r="BF157" s="947">
        <f>+BF158</f>
        <v>0</v>
      </c>
      <c r="BG157" s="947">
        <f t="shared" si="84"/>
        <v>104535976</v>
      </c>
      <c r="BH157" s="947">
        <f>+BH158</f>
        <v>43676526</v>
      </c>
      <c r="BI157" s="947">
        <f t="shared" si="89"/>
        <v>41.781334686156271</v>
      </c>
      <c r="BJ157" s="947">
        <f>+BJ158</f>
        <v>25525236</v>
      </c>
      <c r="BK157" s="947">
        <f t="shared" si="90"/>
        <v>24.417656941376816</v>
      </c>
      <c r="BL157" s="947">
        <f>+BL158</f>
        <v>25525236</v>
      </c>
      <c r="BM157" s="947">
        <f t="shared" si="91"/>
        <v>24.417656941376816</v>
      </c>
      <c r="BN157" s="947">
        <f>+BN158</f>
        <v>81600000</v>
      </c>
      <c r="BO157" s="947">
        <f>+BO158</f>
        <v>0</v>
      </c>
      <c r="BP157" s="947">
        <f>+BP158</f>
        <v>0</v>
      </c>
      <c r="BQ157" s="947">
        <f t="shared" si="85"/>
        <v>81600000</v>
      </c>
      <c r="BR157" s="947">
        <f>+BR158</f>
        <v>83232000</v>
      </c>
      <c r="BS157" s="947">
        <f>+BS158</f>
        <v>0</v>
      </c>
      <c r="BT157" s="947">
        <f>+BT158</f>
        <v>0</v>
      </c>
      <c r="BU157" s="947">
        <f t="shared" si="86"/>
        <v>83232000</v>
      </c>
      <c r="BV157" s="947">
        <f>+BV158</f>
        <v>85000000</v>
      </c>
      <c r="BW157" s="947">
        <f>+BW158</f>
        <v>0</v>
      </c>
      <c r="BX157" s="947">
        <f>+BX158</f>
        <v>0</v>
      </c>
      <c r="BY157" s="947">
        <f t="shared" si="87"/>
        <v>85000000</v>
      </c>
      <c r="BZ157" s="948">
        <f>+BZ158</f>
        <v>352767976</v>
      </c>
      <c r="CA157" s="948">
        <f>+CA158</f>
        <v>123013002</v>
      </c>
      <c r="CB157" s="949">
        <f>+CA157/BZ157*100</f>
        <v>34.870796208553806</v>
      </c>
      <c r="CC157" s="827"/>
      <c r="CD157" s="825"/>
      <c r="CE157" s="828"/>
      <c r="CF157" s="834">
        <f>+BZ158</f>
        <v>352767976</v>
      </c>
      <c r="CG157" s="829"/>
      <c r="CL157" s="821"/>
      <c r="CX157" s="911">
        <f t="shared" si="82"/>
        <v>22935976</v>
      </c>
      <c r="CY157" s="1009"/>
      <c r="DA157" s="846"/>
    </row>
    <row r="158" spans="1:107" s="64" customFormat="1" ht="101.25" x14ac:dyDescent="0.2">
      <c r="A158" s="18"/>
      <c r="C158" s="525"/>
      <c r="D158" s="525"/>
      <c r="E158" s="524"/>
      <c r="F158" s="525"/>
      <c r="G158" s="525"/>
      <c r="H158" s="525"/>
      <c r="I158" s="525"/>
      <c r="J158" s="1521"/>
      <c r="K158" s="1523" t="s">
        <v>421</v>
      </c>
      <c r="L158" s="614"/>
      <c r="M158" s="519"/>
      <c r="N158" s="519"/>
      <c r="O158" s="519"/>
      <c r="P158" s="1526" t="s">
        <v>787</v>
      </c>
      <c r="Q158" s="1442">
        <v>100</v>
      </c>
      <c r="R158" s="1442">
        <v>100</v>
      </c>
      <c r="S158" s="1442">
        <v>100</v>
      </c>
      <c r="T158" s="1442">
        <v>100</v>
      </c>
      <c r="U158" s="756" t="s">
        <v>788</v>
      </c>
      <c r="V158" s="1155" t="s">
        <v>558</v>
      </c>
      <c r="W158" s="223">
        <v>11</v>
      </c>
      <c r="X158" s="223">
        <v>11</v>
      </c>
      <c r="Y158" s="1302">
        <v>100</v>
      </c>
      <c r="Z158" s="1121" t="s">
        <v>1094</v>
      </c>
      <c r="AA158" s="1302">
        <f>+Y158</f>
        <v>100</v>
      </c>
      <c r="AB158" s="223">
        <v>11</v>
      </c>
      <c r="AC158" s="223">
        <v>4</v>
      </c>
      <c r="AD158" s="1136">
        <f>(((AC158/AB158*100)*AM158)/100)</f>
        <v>36.363636363636367</v>
      </c>
      <c r="AE158" s="1121" t="s">
        <v>1272</v>
      </c>
      <c r="AF158" s="223">
        <v>40</v>
      </c>
      <c r="AG158" s="223">
        <v>11</v>
      </c>
      <c r="AH158" s="223">
        <v>11</v>
      </c>
      <c r="AI158" s="425">
        <f>+W158+AB158+AG158+AH158</f>
        <v>44</v>
      </c>
      <c r="AJ158" s="1136">
        <f>+X158+AC158</f>
        <v>15</v>
      </c>
      <c r="AK158" s="541">
        <f>+AJ158/AI158*100</f>
        <v>34.090909090909086</v>
      </c>
      <c r="AL158" s="1410">
        <v>100</v>
      </c>
      <c r="AM158" s="1410">
        <v>100</v>
      </c>
      <c r="AN158" s="560"/>
      <c r="AO158" s="1529">
        <v>80000000</v>
      </c>
      <c r="AP158" s="1529"/>
      <c r="AQ158" s="1529">
        <f t="shared" si="83"/>
        <v>80000000</v>
      </c>
      <c r="AR158" s="1426">
        <v>80000000</v>
      </c>
      <c r="AS158" s="1532"/>
      <c r="AT158" s="1426">
        <f>+AR158+AS158</f>
        <v>80000000</v>
      </c>
      <c r="AU158" s="1419">
        <v>80000000</v>
      </c>
      <c r="AV158" s="1419"/>
      <c r="AW158" s="1419">
        <f t="shared" si="92"/>
        <v>80000000</v>
      </c>
      <c r="AX158" s="1413">
        <v>79336476</v>
      </c>
      <c r="AY158" s="1407">
        <f>+AX158/AW158*100</f>
        <v>99.170594999999992</v>
      </c>
      <c r="AZ158" s="1404">
        <v>62269756</v>
      </c>
      <c r="BA158" s="1407">
        <f>+AZ158/AW158*100</f>
        <v>77.837195000000008</v>
      </c>
      <c r="BB158" s="1404">
        <v>57985256</v>
      </c>
      <c r="BC158" s="1407">
        <f>+BB158/AW158*100</f>
        <v>72.481569999999991</v>
      </c>
      <c r="BD158" s="1388">
        <v>104535976</v>
      </c>
      <c r="BE158" s="1388"/>
      <c r="BF158" s="1388"/>
      <c r="BG158" s="1388">
        <f t="shared" si="84"/>
        <v>104535976</v>
      </c>
      <c r="BH158" s="1388">
        <v>43676526</v>
      </c>
      <c r="BI158" s="1388">
        <f>+BH158/BG158*100</f>
        <v>41.781334686156271</v>
      </c>
      <c r="BJ158" s="1388">
        <v>25525236</v>
      </c>
      <c r="BK158" s="1388">
        <f t="shared" si="90"/>
        <v>24.417656941376816</v>
      </c>
      <c r="BL158" s="1388">
        <v>25525236</v>
      </c>
      <c r="BM158" s="1388">
        <f>+BL158/BG158*100</f>
        <v>24.417656941376816</v>
      </c>
      <c r="BN158" s="1388">
        <f>+ROUND(AO158*0.02,0)+AO158</f>
        <v>81600000</v>
      </c>
      <c r="BO158" s="1388"/>
      <c r="BP158" s="1388"/>
      <c r="BQ158" s="1388">
        <f t="shared" si="85"/>
        <v>81600000</v>
      </c>
      <c r="BR158" s="1388">
        <f>+ROUND(BN158*0.02,0)+BN158</f>
        <v>83232000</v>
      </c>
      <c r="BS158" s="1388"/>
      <c r="BT158" s="1388"/>
      <c r="BU158" s="1388">
        <f t="shared" si="86"/>
        <v>83232000</v>
      </c>
      <c r="BV158" s="1388">
        <v>85000000</v>
      </c>
      <c r="BW158" s="1388"/>
      <c r="BX158" s="1388"/>
      <c r="BY158" s="1388">
        <f t="shared" si="87"/>
        <v>85000000</v>
      </c>
      <c r="BZ158" s="1432">
        <f>+AW158+BG158+BU158+BY158</f>
        <v>352767976</v>
      </c>
      <c r="CA158" s="1401">
        <f>+BH158+AX158</f>
        <v>123013002</v>
      </c>
      <c r="CB158" s="1434">
        <f>+CA158/BZ158*100</f>
        <v>34.870796208553806</v>
      </c>
      <c r="CC158" s="1497"/>
      <c r="CD158" s="1740" t="s">
        <v>1179</v>
      </c>
      <c r="CE158" s="528"/>
      <c r="CF158" s="528"/>
      <c r="CG158" s="529"/>
      <c r="CL158" s="517"/>
      <c r="CX158" s="911">
        <f t="shared" si="82"/>
        <v>22935976</v>
      </c>
      <c r="CY158" s="1018"/>
      <c r="CZ158" s="1020"/>
      <c r="DA158" s="1132"/>
    </row>
    <row r="159" spans="1:107" s="64" customFormat="1" ht="90" x14ac:dyDescent="0.2">
      <c r="A159" s="18"/>
      <c r="C159" s="525"/>
      <c r="D159" s="525"/>
      <c r="E159" s="524"/>
      <c r="F159" s="525"/>
      <c r="G159" s="525"/>
      <c r="H159" s="525"/>
      <c r="I159" s="525"/>
      <c r="J159" s="1475"/>
      <c r="K159" s="1524"/>
      <c r="L159" s="615"/>
      <c r="M159" s="520"/>
      <c r="N159" s="520"/>
      <c r="O159" s="520"/>
      <c r="P159" s="1527"/>
      <c r="Q159" s="1443"/>
      <c r="R159" s="1443"/>
      <c r="S159" s="1443"/>
      <c r="T159" s="1443"/>
      <c r="U159" s="756" t="s">
        <v>784</v>
      </c>
      <c r="V159" s="1155" t="s">
        <v>558</v>
      </c>
      <c r="W159" s="223">
        <v>10</v>
      </c>
      <c r="X159" s="223">
        <v>11</v>
      </c>
      <c r="Y159" s="1302">
        <v>100</v>
      </c>
      <c r="Z159" s="1134" t="s">
        <v>1116</v>
      </c>
      <c r="AA159" s="1302">
        <f>+Y159</f>
        <v>100</v>
      </c>
      <c r="AB159" s="223">
        <v>10</v>
      </c>
      <c r="AC159" s="223">
        <v>3</v>
      </c>
      <c r="AD159" s="223">
        <f>(((AC159/AB159*100)*AM158)/100)</f>
        <v>30</v>
      </c>
      <c r="AE159" s="1121" t="s">
        <v>1273</v>
      </c>
      <c r="AF159" s="223">
        <v>52</v>
      </c>
      <c r="AG159" s="223">
        <v>10</v>
      </c>
      <c r="AH159" s="223">
        <v>10</v>
      </c>
      <c r="AI159" s="425">
        <f>+W159+AB159+AG159+AH159</f>
        <v>40</v>
      </c>
      <c r="AJ159" s="1136">
        <f>+X159+AC159</f>
        <v>14</v>
      </c>
      <c r="AK159" s="541">
        <f>+AJ159/AI159*100</f>
        <v>35</v>
      </c>
      <c r="AL159" s="1411"/>
      <c r="AM159" s="1411"/>
      <c r="AN159" s="537"/>
      <c r="AO159" s="1530"/>
      <c r="AP159" s="1530"/>
      <c r="AQ159" s="1530">
        <f t="shared" si="83"/>
        <v>0</v>
      </c>
      <c r="AR159" s="1427"/>
      <c r="AS159" s="1533"/>
      <c r="AT159" s="1427"/>
      <c r="AU159" s="1420"/>
      <c r="AV159" s="1420"/>
      <c r="AW159" s="1420">
        <f t="shared" si="92"/>
        <v>0</v>
      </c>
      <c r="AX159" s="1414"/>
      <c r="AY159" s="1408" t="e">
        <f>+AX159/AR159*100</f>
        <v>#DIV/0!</v>
      </c>
      <c r="AZ159" s="1405"/>
      <c r="BA159" s="1424" t="e">
        <f>+AZ159/AT159*100</f>
        <v>#DIV/0!</v>
      </c>
      <c r="BB159" s="1405"/>
      <c r="BC159" s="1408" t="e">
        <f>+BB159/AY159*100</f>
        <v>#DIV/0!</v>
      </c>
      <c r="BD159" s="1389"/>
      <c r="BE159" s="1389"/>
      <c r="BF159" s="1389"/>
      <c r="BG159" s="1389">
        <f t="shared" si="84"/>
        <v>0</v>
      </c>
      <c r="BH159" s="1389"/>
      <c r="BI159" s="1389"/>
      <c r="BJ159" s="1389"/>
      <c r="BK159" s="1389"/>
      <c r="BL159" s="1389"/>
      <c r="BM159" s="1389"/>
      <c r="BN159" s="1389"/>
      <c r="BO159" s="1389"/>
      <c r="BP159" s="1389"/>
      <c r="BQ159" s="1389">
        <f t="shared" si="85"/>
        <v>0</v>
      </c>
      <c r="BR159" s="1389"/>
      <c r="BS159" s="1389"/>
      <c r="BT159" s="1389"/>
      <c r="BU159" s="1389">
        <f t="shared" si="86"/>
        <v>0</v>
      </c>
      <c r="BV159" s="1389"/>
      <c r="BW159" s="1389"/>
      <c r="BX159" s="1389"/>
      <c r="BY159" s="1389">
        <f t="shared" si="87"/>
        <v>0</v>
      </c>
      <c r="BZ159" s="1433"/>
      <c r="CA159" s="1402"/>
      <c r="CB159" s="1435" t="e">
        <f>+CA159/BX159*100</f>
        <v>#DIV/0!</v>
      </c>
      <c r="CC159" s="1498"/>
      <c r="CD159" s="1741"/>
      <c r="CE159" s="528"/>
      <c r="CF159" s="528"/>
      <c r="CG159" s="529"/>
      <c r="CL159" s="522"/>
      <c r="CX159" s="911">
        <f t="shared" si="82"/>
        <v>0</v>
      </c>
      <c r="CY159" s="1011"/>
      <c r="DA159" s="1131"/>
    </row>
    <row r="160" spans="1:107" s="64" customFormat="1" ht="188.25" customHeight="1" x14ac:dyDescent="0.2">
      <c r="A160" s="18"/>
      <c r="C160" s="525"/>
      <c r="D160" s="525"/>
      <c r="E160" s="524"/>
      <c r="F160" s="525"/>
      <c r="G160" s="525"/>
      <c r="H160" s="525"/>
      <c r="I160" s="525"/>
      <c r="J160" s="1475"/>
      <c r="K160" s="1524"/>
      <c r="L160" s="615"/>
      <c r="M160" s="520"/>
      <c r="N160" s="520"/>
      <c r="O160" s="520"/>
      <c r="P160" s="1527"/>
      <c r="Q160" s="1443"/>
      <c r="R160" s="1443"/>
      <c r="S160" s="1443"/>
      <c r="T160" s="1443"/>
      <c r="U160" s="756" t="s">
        <v>785</v>
      </c>
      <c r="V160" s="1155" t="s">
        <v>558</v>
      </c>
      <c r="W160" s="223">
        <v>1</v>
      </c>
      <c r="X160" s="223">
        <v>1</v>
      </c>
      <c r="Y160" s="1302">
        <f>+X160/W160*100</f>
        <v>100</v>
      </c>
      <c r="Z160" s="1121" t="s">
        <v>1095</v>
      </c>
      <c r="AA160" s="1302">
        <v>50</v>
      </c>
      <c r="AB160" s="223">
        <v>1</v>
      </c>
      <c r="AC160" s="223">
        <v>0</v>
      </c>
      <c r="AD160" s="223">
        <f>(((AC160/AB160*100)*AM160)/100)</f>
        <v>0</v>
      </c>
      <c r="AE160" s="1121" t="s">
        <v>1274</v>
      </c>
      <c r="AF160" s="223">
        <v>10</v>
      </c>
      <c r="AG160" s="223">
        <v>1</v>
      </c>
      <c r="AH160" s="223">
        <v>1</v>
      </c>
      <c r="AI160" s="425">
        <f>+W160+AB160+AG160+AH160</f>
        <v>4</v>
      </c>
      <c r="AJ160" s="1136">
        <f>+X160+AC160</f>
        <v>1</v>
      </c>
      <c r="AK160" s="541">
        <f>+AJ160/AI160*100</f>
        <v>25</v>
      </c>
      <c r="AL160" s="1411"/>
      <c r="AM160" s="1411"/>
      <c r="AN160" s="537"/>
      <c r="AO160" s="1530"/>
      <c r="AP160" s="1530"/>
      <c r="AQ160" s="1530">
        <f t="shared" si="83"/>
        <v>0</v>
      </c>
      <c r="AR160" s="1427"/>
      <c r="AS160" s="1533"/>
      <c r="AT160" s="1427"/>
      <c r="AU160" s="1420"/>
      <c r="AV160" s="1420"/>
      <c r="AW160" s="1420">
        <f t="shared" si="92"/>
        <v>0</v>
      </c>
      <c r="AX160" s="1414"/>
      <c r="AY160" s="1408" t="e">
        <f>+AX160/AR160*100</f>
        <v>#DIV/0!</v>
      </c>
      <c r="AZ160" s="1405"/>
      <c r="BA160" s="1424" t="e">
        <f>+AZ160/AT160*100</f>
        <v>#DIV/0!</v>
      </c>
      <c r="BB160" s="1405"/>
      <c r="BC160" s="1408" t="e">
        <f>+BB160/AY160*100</f>
        <v>#DIV/0!</v>
      </c>
      <c r="BD160" s="1389"/>
      <c r="BE160" s="1389"/>
      <c r="BF160" s="1389"/>
      <c r="BG160" s="1389">
        <f t="shared" si="84"/>
        <v>0</v>
      </c>
      <c r="BH160" s="1389"/>
      <c r="BI160" s="1389"/>
      <c r="BJ160" s="1389"/>
      <c r="BK160" s="1389"/>
      <c r="BL160" s="1389"/>
      <c r="BM160" s="1389"/>
      <c r="BN160" s="1389"/>
      <c r="BO160" s="1389"/>
      <c r="BP160" s="1389"/>
      <c r="BQ160" s="1389">
        <f t="shared" si="85"/>
        <v>0</v>
      </c>
      <c r="BR160" s="1389"/>
      <c r="BS160" s="1389"/>
      <c r="BT160" s="1389"/>
      <c r="BU160" s="1389">
        <f t="shared" si="86"/>
        <v>0</v>
      </c>
      <c r="BV160" s="1389"/>
      <c r="BW160" s="1389"/>
      <c r="BX160" s="1389"/>
      <c r="BY160" s="1389">
        <f t="shared" si="87"/>
        <v>0</v>
      </c>
      <c r="BZ160" s="1433"/>
      <c r="CA160" s="1402"/>
      <c r="CB160" s="1435" t="e">
        <f>+CA160/BX160*100</f>
        <v>#DIV/0!</v>
      </c>
      <c r="CC160" s="1498"/>
      <c r="CD160" s="1741"/>
      <c r="CE160" s="528"/>
      <c r="CF160" s="528"/>
      <c r="CG160" s="529"/>
      <c r="CL160" s="522"/>
      <c r="CX160" s="911">
        <f t="shared" si="82"/>
        <v>0</v>
      </c>
      <c r="CY160" s="1011"/>
      <c r="DA160" s="1131"/>
    </row>
    <row r="161" spans="1:105" s="64" customFormat="1" ht="101.25" x14ac:dyDescent="0.2">
      <c r="A161" s="552"/>
      <c r="C161" s="525"/>
      <c r="D161" s="525"/>
      <c r="E161" s="524"/>
      <c r="F161" s="525"/>
      <c r="G161" s="525"/>
      <c r="H161" s="525"/>
      <c r="I161" s="525"/>
      <c r="J161" s="1522"/>
      <c r="K161" s="1525"/>
      <c r="L161" s="615"/>
      <c r="M161" s="520"/>
      <c r="N161" s="520"/>
      <c r="O161" s="520"/>
      <c r="P161" s="1528"/>
      <c r="Q161" s="1444"/>
      <c r="R161" s="1444"/>
      <c r="S161" s="1444"/>
      <c r="T161" s="1444"/>
      <c r="U161" s="1141" t="s">
        <v>786</v>
      </c>
      <c r="V161" s="1151" t="s">
        <v>559</v>
      </c>
      <c r="W161" s="223">
        <v>1</v>
      </c>
      <c r="X161" s="223">
        <v>1</v>
      </c>
      <c r="Y161" s="1302">
        <f>+X161/W161*100</f>
        <v>100</v>
      </c>
      <c r="Z161" s="1121" t="s">
        <v>1096</v>
      </c>
      <c r="AA161" s="1302">
        <v>20</v>
      </c>
      <c r="AB161" s="223">
        <v>1</v>
      </c>
      <c r="AC161" s="223">
        <v>0</v>
      </c>
      <c r="AD161" s="223">
        <f>(((AC161/AB161*100)*AM161)/100)</f>
        <v>0</v>
      </c>
      <c r="AE161" s="1121" t="s">
        <v>1275</v>
      </c>
      <c r="AF161" s="223">
        <v>10</v>
      </c>
      <c r="AG161" s="223">
        <v>1</v>
      </c>
      <c r="AH161" s="223">
        <v>1</v>
      </c>
      <c r="AI161" s="425">
        <f>+W161+AB161+AG161+AH161</f>
        <v>4</v>
      </c>
      <c r="AJ161" s="1136">
        <f>+X161+AC161</f>
        <v>1</v>
      </c>
      <c r="AK161" s="541">
        <f>+AJ161/AI161*100</f>
        <v>25</v>
      </c>
      <c r="AL161" s="1412"/>
      <c r="AM161" s="1412"/>
      <c r="AN161" s="538"/>
      <c r="AO161" s="1531"/>
      <c r="AP161" s="1531"/>
      <c r="AQ161" s="1531">
        <f t="shared" si="83"/>
        <v>0</v>
      </c>
      <c r="AR161" s="1428"/>
      <c r="AS161" s="1534"/>
      <c r="AT161" s="1428"/>
      <c r="AU161" s="1421"/>
      <c r="AV161" s="1421"/>
      <c r="AW161" s="1421">
        <f t="shared" si="92"/>
        <v>0</v>
      </c>
      <c r="AX161" s="1415"/>
      <c r="AY161" s="1409" t="e">
        <f>+AX161/AR161*100</f>
        <v>#DIV/0!</v>
      </c>
      <c r="AZ161" s="1406"/>
      <c r="BA161" s="1425" t="e">
        <f>+AZ161/AT161*100</f>
        <v>#DIV/0!</v>
      </c>
      <c r="BB161" s="1406"/>
      <c r="BC161" s="1409" t="e">
        <f>+BB161/AY161*100</f>
        <v>#DIV/0!</v>
      </c>
      <c r="BD161" s="1390"/>
      <c r="BE161" s="1390"/>
      <c r="BF161" s="1390"/>
      <c r="BG161" s="1390">
        <f t="shared" si="84"/>
        <v>0</v>
      </c>
      <c r="BH161" s="1390"/>
      <c r="BI161" s="1390"/>
      <c r="BJ161" s="1390"/>
      <c r="BK161" s="1390"/>
      <c r="BL161" s="1390"/>
      <c r="BM161" s="1390"/>
      <c r="BN161" s="1390"/>
      <c r="BO161" s="1390"/>
      <c r="BP161" s="1390"/>
      <c r="BQ161" s="1390">
        <f t="shared" si="85"/>
        <v>0</v>
      </c>
      <c r="BR161" s="1390"/>
      <c r="BS161" s="1390"/>
      <c r="BT161" s="1390"/>
      <c r="BU161" s="1390">
        <f t="shared" si="86"/>
        <v>0</v>
      </c>
      <c r="BV161" s="1390"/>
      <c r="BW161" s="1390"/>
      <c r="BX161" s="1390"/>
      <c r="BY161" s="1390">
        <f t="shared" si="87"/>
        <v>0</v>
      </c>
      <c r="BZ161" s="1440"/>
      <c r="CA161" s="1403"/>
      <c r="CB161" s="1438" t="e">
        <f>+CA161/BX161*100</f>
        <v>#DIV/0!</v>
      </c>
      <c r="CC161" s="1499"/>
      <c r="CD161" s="1742"/>
      <c r="CE161" s="528"/>
      <c r="CF161" s="528"/>
      <c r="CG161" s="529"/>
      <c r="CL161" s="518"/>
      <c r="CX161" s="911">
        <f t="shared" si="82"/>
        <v>0</v>
      </c>
      <c r="CY161" s="1011"/>
      <c r="DA161" s="1131"/>
    </row>
    <row r="162" spans="1:105" s="815" customFormat="1" ht="67.5" x14ac:dyDescent="0.2">
      <c r="A162" s="819" t="s">
        <v>123</v>
      </c>
      <c r="C162" s="848"/>
      <c r="D162" s="848"/>
      <c r="E162" s="832"/>
      <c r="F162" s="848"/>
      <c r="G162" s="848"/>
      <c r="H162" s="848"/>
      <c r="I162" s="848"/>
      <c r="J162" s="1205" t="s">
        <v>871</v>
      </c>
      <c r="K162" s="1205"/>
      <c r="L162" s="1284">
        <v>10</v>
      </c>
      <c r="M162" s="1284">
        <v>10</v>
      </c>
      <c r="N162" s="1284">
        <v>10</v>
      </c>
      <c r="O162" s="1284">
        <v>10</v>
      </c>
      <c r="P162" s="1286"/>
      <c r="Q162" s="1227"/>
      <c r="R162" s="1227"/>
      <c r="S162" s="1227"/>
      <c r="T162" s="1227"/>
      <c r="U162" s="1222"/>
      <c r="V162" s="1222"/>
      <c r="W162" s="1203"/>
      <c r="X162" s="1203"/>
      <c r="Y162" s="1211">
        <f>((((Y163+Y164+Y165)/3)*AL162)/100)</f>
        <v>10</v>
      </c>
      <c r="Z162" s="1287"/>
      <c r="AA162" s="1211">
        <f>((((AA163+AA164+AA165)/3)*AL162)/100)</f>
        <v>10</v>
      </c>
      <c r="AB162" s="1203"/>
      <c r="AC162" s="1203"/>
      <c r="AD162" s="1211">
        <f>((((AD163+AD164+AD165)/3)*AM162)/100)</f>
        <v>5</v>
      </c>
      <c r="AE162" s="1203"/>
      <c r="AF162" s="1211">
        <f>(AF163+AF164+AF165)/3</f>
        <v>50</v>
      </c>
      <c r="AG162" s="1203"/>
      <c r="AH162" s="1203"/>
      <c r="AI162" s="1203"/>
      <c r="AJ162" s="1211"/>
      <c r="AK162" s="1211">
        <f>((AK163+AK164+AK165)/3)</f>
        <v>25</v>
      </c>
      <c r="AL162" s="1226">
        <f>+L162</f>
        <v>10</v>
      </c>
      <c r="AM162" s="1226">
        <v>10</v>
      </c>
      <c r="AN162" s="1288"/>
      <c r="AO162" s="821">
        <f>SUM(AO163:AO165)</f>
        <v>260000000</v>
      </c>
      <c r="AP162" s="821">
        <f>SUM(AP163:AP165)</f>
        <v>0</v>
      </c>
      <c r="AQ162" s="821">
        <f t="shared" si="83"/>
        <v>260000000</v>
      </c>
      <c r="AR162" s="822">
        <f>+AR163</f>
        <v>610000000</v>
      </c>
      <c r="AS162" s="822">
        <f>+AS163</f>
        <v>0</v>
      </c>
      <c r="AT162" s="822">
        <f>+AT163</f>
        <v>610000000</v>
      </c>
      <c r="AU162" s="823">
        <f>SUM(AU163:AU165)</f>
        <v>610000000</v>
      </c>
      <c r="AV162" s="823">
        <f>SUM(AV163:AV165)</f>
        <v>0</v>
      </c>
      <c r="AW162" s="823">
        <f t="shared" si="92"/>
        <v>610000000</v>
      </c>
      <c r="AX162" s="824">
        <f>+AX163</f>
        <v>371949231</v>
      </c>
      <c r="AY162" s="825">
        <f>+AX162/AW162*100</f>
        <v>60.975283770491806</v>
      </c>
      <c r="AZ162" s="826">
        <f>+AZ163</f>
        <v>141484392</v>
      </c>
      <c r="BA162" s="825">
        <f>+AZ162/AW162*100</f>
        <v>23.19416262295082</v>
      </c>
      <c r="BB162" s="826">
        <f>+BB163</f>
        <v>141484392</v>
      </c>
      <c r="BC162" s="825">
        <f>+BB162/AW162*100</f>
        <v>23.19416262295082</v>
      </c>
      <c r="BD162" s="947">
        <f>SUM(BD163:BD165)</f>
        <v>286307806</v>
      </c>
      <c r="BE162" s="947">
        <f>SUM(BE163:BE165)</f>
        <v>0</v>
      </c>
      <c r="BF162" s="947">
        <f>SUM(BF163:BF165)</f>
        <v>0</v>
      </c>
      <c r="BG162" s="947">
        <f t="shared" si="84"/>
        <v>286307806</v>
      </c>
      <c r="BH162" s="947">
        <f>SUM(BH163:BH165)</f>
        <v>116372000</v>
      </c>
      <c r="BI162" s="947">
        <f>+BH162/BG162*100</f>
        <v>40.645765697355799</v>
      </c>
      <c r="BJ162" s="947">
        <f>SUM(BJ163:BJ165)</f>
        <v>29093000</v>
      </c>
      <c r="BK162" s="947">
        <f>+BJ162/BG162*100</f>
        <v>10.16144142433895</v>
      </c>
      <c r="BL162" s="947">
        <f>SUM(BL163:BL165)</f>
        <v>29093000</v>
      </c>
      <c r="BM162" s="947">
        <f>+BL162/BG162*100</f>
        <v>10.16144142433895</v>
      </c>
      <c r="BN162" s="947">
        <f>SUM(BN163:BN165)</f>
        <v>265000000</v>
      </c>
      <c r="BO162" s="947">
        <f>SUM(BO163:BO165)</f>
        <v>0</v>
      </c>
      <c r="BP162" s="947">
        <f>SUM(BP163:BP165)</f>
        <v>0</v>
      </c>
      <c r="BQ162" s="947">
        <f t="shared" si="85"/>
        <v>265000000</v>
      </c>
      <c r="BR162" s="947">
        <f>SUM(BR163:BR165)</f>
        <v>265000000</v>
      </c>
      <c r="BS162" s="947">
        <f>SUM(BS163:BS165)</f>
        <v>0</v>
      </c>
      <c r="BT162" s="947">
        <f>SUM(BT163:BT165)</f>
        <v>0</v>
      </c>
      <c r="BU162" s="947">
        <f t="shared" si="86"/>
        <v>265000000</v>
      </c>
      <c r="BV162" s="947">
        <f>SUM(BV163:BV165)</f>
        <v>270300000</v>
      </c>
      <c r="BW162" s="947">
        <f>SUM(BW163:BW165)</f>
        <v>0</v>
      </c>
      <c r="BX162" s="947">
        <f>SUM(BX163:BX165)</f>
        <v>0</v>
      </c>
      <c r="BY162" s="947">
        <f t="shared" si="87"/>
        <v>270300000</v>
      </c>
      <c r="BZ162" s="948">
        <f>+BZ163</f>
        <v>1431607806</v>
      </c>
      <c r="CA162" s="948">
        <f>+CA163</f>
        <v>488321231</v>
      </c>
      <c r="CB162" s="949">
        <f>+CA162/BZ162*100</f>
        <v>34.109986614588209</v>
      </c>
      <c r="CC162" s="827"/>
      <c r="CD162" s="825"/>
      <c r="CE162" s="828"/>
      <c r="CF162" s="834">
        <f>+BZ163</f>
        <v>1431607806</v>
      </c>
      <c r="CG162" s="829">
        <v>350000000</v>
      </c>
      <c r="CL162" s="821"/>
      <c r="CX162" s="911">
        <f t="shared" si="82"/>
        <v>21307806</v>
      </c>
      <c r="CY162" s="1009"/>
      <c r="DA162" s="846"/>
    </row>
    <row r="163" spans="1:105" s="64" customFormat="1" ht="150" customHeight="1" x14ac:dyDescent="0.2">
      <c r="A163" s="18"/>
      <c r="C163" s="525"/>
      <c r="D163" s="525"/>
      <c r="E163" s="524"/>
      <c r="F163" s="525"/>
      <c r="G163" s="525"/>
      <c r="H163" s="525"/>
      <c r="I163" s="525"/>
      <c r="J163" s="1500"/>
      <c r="K163" s="1503" t="s">
        <v>421</v>
      </c>
      <c r="L163" s="614"/>
      <c r="M163" s="519"/>
      <c r="N163" s="519"/>
      <c r="O163" s="519"/>
      <c r="P163" s="1449" t="s">
        <v>482</v>
      </c>
      <c r="Q163" s="1442">
        <v>100</v>
      </c>
      <c r="R163" s="1442">
        <v>100</v>
      </c>
      <c r="S163" s="1442">
        <v>100</v>
      </c>
      <c r="T163" s="1442">
        <v>100</v>
      </c>
      <c r="U163" s="750" t="s">
        <v>800</v>
      </c>
      <c r="V163" s="629" t="s">
        <v>147</v>
      </c>
      <c r="W163" s="563">
        <v>100</v>
      </c>
      <c r="X163" s="563">
        <v>100</v>
      </c>
      <c r="Y163" s="1302">
        <f>+X163/W163*100</f>
        <v>100</v>
      </c>
      <c r="Z163" s="1134" t="s">
        <v>1097</v>
      </c>
      <c r="AA163" s="1317">
        <f>+Y163</f>
        <v>100</v>
      </c>
      <c r="AB163" s="563">
        <v>100</v>
      </c>
      <c r="AC163" s="563">
        <v>50</v>
      </c>
      <c r="AD163" s="223">
        <f>(((AC163/AB163*100)*AM163)/100)</f>
        <v>50</v>
      </c>
      <c r="AE163" s="1134" t="s">
        <v>1320</v>
      </c>
      <c r="AF163" s="563">
        <v>50</v>
      </c>
      <c r="AG163" s="563">
        <v>100</v>
      </c>
      <c r="AH163" s="563">
        <v>100</v>
      </c>
      <c r="AI163" s="563">
        <v>100</v>
      </c>
      <c r="AJ163" s="1136">
        <f>+X163+AC163</f>
        <v>150</v>
      </c>
      <c r="AK163" s="541">
        <v>25</v>
      </c>
      <c r="AL163" s="1410">
        <v>100</v>
      </c>
      <c r="AM163" s="1410">
        <v>100</v>
      </c>
      <c r="AN163" s="569"/>
      <c r="AO163" s="1422">
        <v>260000000</v>
      </c>
      <c r="AP163" s="1422"/>
      <c r="AQ163" s="1422">
        <f t="shared" si="83"/>
        <v>260000000</v>
      </c>
      <c r="AR163" s="1506">
        <v>610000000</v>
      </c>
      <c r="AS163" s="1426"/>
      <c r="AT163" s="1426">
        <f>+AS163+AR163</f>
        <v>610000000</v>
      </c>
      <c r="AU163" s="1509">
        <v>610000000</v>
      </c>
      <c r="AV163" s="1419"/>
      <c r="AW163" s="1419">
        <f t="shared" si="92"/>
        <v>610000000</v>
      </c>
      <c r="AX163" s="1429">
        <v>371949231</v>
      </c>
      <c r="AY163" s="1513">
        <f>+AX163/AW163*100</f>
        <v>60.975283770491806</v>
      </c>
      <c r="AZ163" s="1516">
        <v>141484392</v>
      </c>
      <c r="BA163" s="1513">
        <f>+AZ163/AW163*100</f>
        <v>23.19416262295082</v>
      </c>
      <c r="BB163" s="1516">
        <v>141484392</v>
      </c>
      <c r="BC163" s="1513">
        <f>+BB163/AW163*100</f>
        <v>23.19416262295082</v>
      </c>
      <c r="BD163" s="1388">
        <v>286307806</v>
      </c>
      <c r="BE163" s="1388"/>
      <c r="BF163" s="1388"/>
      <c r="BG163" s="1388">
        <f t="shared" si="84"/>
        <v>286307806</v>
      </c>
      <c r="BH163" s="1388">
        <v>116372000</v>
      </c>
      <c r="BI163" s="1388">
        <f>+BH163/BG163*100</f>
        <v>40.645765697355799</v>
      </c>
      <c r="BJ163" s="1388">
        <v>29093000</v>
      </c>
      <c r="BK163" s="1388">
        <f>+BJ163/BG163*100</f>
        <v>10.16144142433895</v>
      </c>
      <c r="BL163" s="1388">
        <v>29093000</v>
      </c>
      <c r="BM163" s="1388">
        <f>+BL163/BG163*100</f>
        <v>10.16144142433895</v>
      </c>
      <c r="BN163" s="1388">
        <v>265000000</v>
      </c>
      <c r="BO163" s="1388"/>
      <c r="BP163" s="1388"/>
      <c r="BQ163" s="1388">
        <f t="shared" si="85"/>
        <v>265000000</v>
      </c>
      <c r="BR163" s="1388">
        <v>265000000</v>
      </c>
      <c r="BS163" s="1388"/>
      <c r="BT163" s="1388"/>
      <c r="BU163" s="1388">
        <f t="shared" si="86"/>
        <v>265000000</v>
      </c>
      <c r="BV163" s="1388">
        <v>270300000</v>
      </c>
      <c r="BW163" s="1388"/>
      <c r="BX163" s="1388"/>
      <c r="BY163" s="1388">
        <f t="shared" si="87"/>
        <v>270300000</v>
      </c>
      <c r="BZ163" s="1401">
        <f>+AW163+BG163+BU163+BY163</f>
        <v>1431607806</v>
      </c>
      <c r="CA163" s="1480">
        <f>+BH163+AX163</f>
        <v>488321231</v>
      </c>
      <c r="CB163" s="1477">
        <f>+CA163/BZ163*100</f>
        <v>34.109986614588209</v>
      </c>
      <c r="CC163" s="1436" t="s">
        <v>904</v>
      </c>
      <c r="CD163" s="1735" t="s">
        <v>1180</v>
      </c>
      <c r="CE163" s="542"/>
      <c r="CF163" s="528"/>
      <c r="CG163" s="529"/>
      <c r="CL163" s="251"/>
      <c r="CX163" s="911">
        <f t="shared" si="82"/>
        <v>21307806</v>
      </c>
      <c r="CY163" s="1018"/>
      <c r="CZ163" s="1020"/>
      <c r="DA163" s="63"/>
    </row>
    <row r="164" spans="1:105" s="64" customFormat="1" ht="101.25" x14ac:dyDescent="0.2">
      <c r="A164" s="18"/>
      <c r="C164" s="525"/>
      <c r="D164" s="525"/>
      <c r="E164" s="524"/>
      <c r="F164" s="525"/>
      <c r="G164" s="525"/>
      <c r="H164" s="525"/>
      <c r="I164" s="525"/>
      <c r="J164" s="1501"/>
      <c r="K164" s="1504"/>
      <c r="L164" s="615"/>
      <c r="M164" s="520"/>
      <c r="N164" s="520"/>
      <c r="O164" s="520"/>
      <c r="P164" s="1450"/>
      <c r="Q164" s="1443"/>
      <c r="R164" s="1443"/>
      <c r="S164" s="1443"/>
      <c r="T164" s="1443"/>
      <c r="U164" s="750" t="s">
        <v>799</v>
      </c>
      <c r="V164" s="629" t="s">
        <v>147</v>
      </c>
      <c r="W164" s="563">
        <v>100</v>
      </c>
      <c r="X164" s="563">
        <v>100</v>
      </c>
      <c r="Y164" s="1302">
        <f>+X164/W164*100</f>
        <v>100</v>
      </c>
      <c r="Z164" s="1134" t="s">
        <v>1098</v>
      </c>
      <c r="AA164" s="1317">
        <f>+Y164</f>
        <v>100</v>
      </c>
      <c r="AB164" s="563">
        <v>100</v>
      </c>
      <c r="AC164" s="563">
        <v>50</v>
      </c>
      <c r="AD164" s="223">
        <f>(((AC164/AB164*100)*AM163)/100)</f>
        <v>50</v>
      </c>
      <c r="AE164" s="1134" t="s">
        <v>1321</v>
      </c>
      <c r="AF164" s="563">
        <v>50</v>
      </c>
      <c r="AG164" s="563">
        <v>100</v>
      </c>
      <c r="AH164" s="563">
        <v>100</v>
      </c>
      <c r="AI164" s="563">
        <v>100</v>
      </c>
      <c r="AJ164" s="1136">
        <f>+X164+AC164</f>
        <v>150</v>
      </c>
      <c r="AK164" s="541">
        <v>25</v>
      </c>
      <c r="AL164" s="1411"/>
      <c r="AM164" s="1411"/>
      <c r="AN164" s="646"/>
      <c r="AO164" s="1476"/>
      <c r="AP164" s="1476"/>
      <c r="AQ164" s="1476"/>
      <c r="AR164" s="1507"/>
      <c r="AS164" s="1427"/>
      <c r="AT164" s="1427"/>
      <c r="AU164" s="1510"/>
      <c r="AV164" s="1420"/>
      <c r="AW164" s="1420"/>
      <c r="AX164" s="1512"/>
      <c r="AY164" s="1514" t="e">
        <f>+AX164/AR164*100</f>
        <v>#DIV/0!</v>
      </c>
      <c r="AZ164" s="1517"/>
      <c r="BA164" s="1519" t="e">
        <f>+AZ164/AT164*100</f>
        <v>#DIV/0!</v>
      </c>
      <c r="BB164" s="1517"/>
      <c r="BC164" s="1514" t="e">
        <f>+BB164/AY164*100</f>
        <v>#DIV/0!</v>
      </c>
      <c r="BD164" s="1389"/>
      <c r="BE164" s="1389"/>
      <c r="BF164" s="1389"/>
      <c r="BG164" s="1389"/>
      <c r="BH164" s="1389"/>
      <c r="BI164" s="1389"/>
      <c r="BJ164" s="1389"/>
      <c r="BK164" s="1389"/>
      <c r="BL164" s="1389"/>
      <c r="BM164" s="1389"/>
      <c r="BN164" s="1389"/>
      <c r="BO164" s="1389"/>
      <c r="BP164" s="1389"/>
      <c r="BQ164" s="1389"/>
      <c r="BR164" s="1389"/>
      <c r="BS164" s="1389"/>
      <c r="BT164" s="1389"/>
      <c r="BU164" s="1389"/>
      <c r="BV164" s="1389"/>
      <c r="BW164" s="1389"/>
      <c r="BX164" s="1389"/>
      <c r="BY164" s="1389"/>
      <c r="BZ164" s="1402"/>
      <c r="CA164" s="1481"/>
      <c r="CB164" s="1478" t="e">
        <f>+CA164/BX164*100</f>
        <v>#DIV/0!</v>
      </c>
      <c r="CC164" s="1437"/>
      <c r="CD164" s="1736"/>
      <c r="CE164" s="542"/>
      <c r="CF164" s="528"/>
      <c r="CG164" s="529"/>
      <c r="CI164" s="249"/>
      <c r="CL164" s="523"/>
      <c r="CX164" s="911">
        <f t="shared" si="82"/>
        <v>0</v>
      </c>
      <c r="CY164" s="1011"/>
    </row>
    <row r="165" spans="1:105" s="64" customFormat="1" ht="153" customHeight="1" x14ac:dyDescent="0.2">
      <c r="A165" s="18"/>
      <c r="C165" s="525"/>
      <c r="D165" s="525"/>
      <c r="E165" s="524"/>
      <c r="F165" s="525"/>
      <c r="G165" s="525"/>
      <c r="H165" s="525"/>
      <c r="I165" s="525"/>
      <c r="J165" s="1502"/>
      <c r="K165" s="1505"/>
      <c r="L165" s="208"/>
      <c r="M165" s="521"/>
      <c r="N165" s="521"/>
      <c r="O165" s="521"/>
      <c r="P165" s="1451"/>
      <c r="Q165" s="1444"/>
      <c r="R165" s="1444"/>
      <c r="S165" s="1444"/>
      <c r="T165" s="1444"/>
      <c r="U165" s="750" t="s">
        <v>789</v>
      </c>
      <c r="V165" s="629" t="s">
        <v>147</v>
      </c>
      <c r="W165" s="563">
        <v>100</v>
      </c>
      <c r="X165" s="563">
        <v>100</v>
      </c>
      <c r="Y165" s="1302">
        <f>+X165/W165*100</f>
        <v>100</v>
      </c>
      <c r="Z165" s="1134" t="s">
        <v>1099</v>
      </c>
      <c r="AA165" s="1317">
        <f>+Y165</f>
        <v>100</v>
      </c>
      <c r="AB165" s="563">
        <v>100</v>
      </c>
      <c r="AC165" s="563">
        <v>50</v>
      </c>
      <c r="AD165" s="223">
        <f>(((AC165/AB165*100)*AM163)/100)</f>
        <v>50</v>
      </c>
      <c r="AE165" s="1134" t="s">
        <v>1322</v>
      </c>
      <c r="AF165" s="563">
        <v>50</v>
      </c>
      <c r="AG165" s="563">
        <v>100</v>
      </c>
      <c r="AH165" s="563">
        <v>100</v>
      </c>
      <c r="AI165" s="563">
        <v>100</v>
      </c>
      <c r="AJ165" s="1136">
        <f>+X165+AC165</f>
        <v>150</v>
      </c>
      <c r="AK165" s="541">
        <v>25</v>
      </c>
      <c r="AL165" s="1412"/>
      <c r="AM165" s="1412"/>
      <c r="AN165" s="536"/>
      <c r="AO165" s="1423"/>
      <c r="AP165" s="1423"/>
      <c r="AQ165" s="1423"/>
      <c r="AR165" s="1508"/>
      <c r="AS165" s="1428"/>
      <c r="AT165" s="1428"/>
      <c r="AU165" s="1511"/>
      <c r="AV165" s="1421"/>
      <c r="AW165" s="1421"/>
      <c r="AX165" s="1430"/>
      <c r="AY165" s="1515" t="e">
        <f>+AX165/AR165*100</f>
        <v>#DIV/0!</v>
      </c>
      <c r="AZ165" s="1518"/>
      <c r="BA165" s="1520" t="e">
        <f>+AZ165/AT165*100</f>
        <v>#DIV/0!</v>
      </c>
      <c r="BB165" s="1518"/>
      <c r="BC165" s="1515" t="e">
        <f>+BB165/AY165*100</f>
        <v>#DIV/0!</v>
      </c>
      <c r="BD165" s="1390"/>
      <c r="BE165" s="1390"/>
      <c r="BF165" s="1390"/>
      <c r="BG165" s="1390"/>
      <c r="BH165" s="1390"/>
      <c r="BI165" s="1390"/>
      <c r="BJ165" s="1390"/>
      <c r="BK165" s="1390"/>
      <c r="BL165" s="1390"/>
      <c r="BM165" s="1390"/>
      <c r="BN165" s="1390"/>
      <c r="BO165" s="1390"/>
      <c r="BP165" s="1390"/>
      <c r="BQ165" s="1390"/>
      <c r="BR165" s="1390"/>
      <c r="BS165" s="1390"/>
      <c r="BT165" s="1390"/>
      <c r="BU165" s="1390"/>
      <c r="BV165" s="1390"/>
      <c r="BW165" s="1390"/>
      <c r="BX165" s="1390"/>
      <c r="BY165" s="1390"/>
      <c r="BZ165" s="1403"/>
      <c r="CA165" s="1482"/>
      <c r="CB165" s="1479" t="e">
        <f>+CA165/BX165*100</f>
        <v>#DIV/0!</v>
      </c>
      <c r="CC165" s="1439"/>
      <c r="CD165" s="1737"/>
      <c r="CE165" s="542"/>
      <c r="CF165" s="528"/>
      <c r="CG165" s="529"/>
      <c r="CI165" s="249"/>
      <c r="CL165" s="252"/>
      <c r="CX165" s="911">
        <f t="shared" si="82"/>
        <v>0</v>
      </c>
      <c r="CY165" s="1011"/>
    </row>
    <row r="166" spans="1:105" ht="84.75" customHeight="1" x14ac:dyDescent="0.2">
      <c r="A166" s="199"/>
      <c r="C166" s="154"/>
      <c r="D166" s="154"/>
      <c r="E166" s="390"/>
      <c r="F166" s="154"/>
      <c r="G166" s="154"/>
      <c r="H166" s="154"/>
      <c r="I166" s="154"/>
      <c r="J166" s="1280" t="s">
        <v>872</v>
      </c>
      <c r="K166" s="1289"/>
      <c r="L166" s="1290"/>
      <c r="M166" s="1290">
        <v>10</v>
      </c>
      <c r="N166" s="1290">
        <v>10</v>
      </c>
      <c r="O166" s="1290">
        <v>10</v>
      </c>
      <c r="P166" s="1291"/>
      <c r="Q166" s="1292"/>
      <c r="R166" s="1292"/>
      <c r="S166" s="1292"/>
      <c r="T166" s="1292"/>
      <c r="U166" s="1280"/>
      <c r="V166" s="1281"/>
      <c r="W166" s="1293"/>
      <c r="X166" s="1293"/>
      <c r="Y166" s="1294"/>
      <c r="Z166" s="1295"/>
      <c r="AA166" s="1294"/>
      <c r="AB166" s="1293"/>
      <c r="AC166" s="1293"/>
      <c r="AD166" s="1211">
        <f>((((AD167+AD168+AD169)/3)*AM166)/100)</f>
        <v>0</v>
      </c>
      <c r="AE166" s="1293"/>
      <c r="AF166" s="1293">
        <f>+(AF167+AF168+AF169)/3</f>
        <v>0</v>
      </c>
      <c r="AG166" s="1293"/>
      <c r="AH166" s="1293"/>
      <c r="AI166" s="1296"/>
      <c r="AJ166" s="1211">
        <f>((((AJ167+AJ168+AJ169)/3)*AM166)/100)</f>
        <v>0</v>
      </c>
      <c r="AK166" s="1297">
        <f>+(AK167+AK168+AK169)/3</f>
        <v>0</v>
      </c>
      <c r="AL166" s="1297">
        <f>+L166</f>
        <v>0</v>
      </c>
      <c r="AM166" s="1297">
        <v>10</v>
      </c>
      <c r="AN166" s="1297"/>
      <c r="AO166" s="423"/>
      <c r="AP166" s="288">
        <f>SUM(AP167:AP169)</f>
        <v>0</v>
      </c>
      <c r="AQ166" s="288">
        <f t="shared" ref="AQ166:AQ179" si="93">SUM(AO166:AP166)</f>
        <v>0</v>
      </c>
      <c r="AR166" s="414"/>
      <c r="AS166" s="414"/>
      <c r="AT166" s="414"/>
      <c r="AU166" s="708">
        <f>SUM(AU167:AU169)</f>
        <v>0</v>
      </c>
      <c r="AV166" s="708">
        <f>SUM(AV167:AV169)</f>
        <v>0</v>
      </c>
      <c r="AW166" s="708">
        <f t="shared" ref="AW166:AW172" si="94">SUM(AU166:AV166)</f>
        <v>0</v>
      </c>
      <c r="AX166" s="775"/>
      <c r="AY166" s="673"/>
      <c r="AZ166" s="674"/>
      <c r="BA166" s="673"/>
      <c r="BB166" s="674"/>
      <c r="BC166" s="673"/>
      <c r="BD166" s="1000">
        <f>SUM(BD167:BD169)</f>
        <v>297937109</v>
      </c>
      <c r="BE166" s="1000">
        <f>SUM(BE167:BE169)</f>
        <v>0</v>
      </c>
      <c r="BF166" s="1000">
        <f>SUM(BF167:BF169)</f>
        <v>0</v>
      </c>
      <c r="BG166" s="1000">
        <f t="shared" ref="BG166:BG179" si="95">SUM(BD166:BF166)</f>
        <v>297937109</v>
      </c>
      <c r="BH166" s="1000">
        <f>SUM(BH167:BH169)</f>
        <v>0</v>
      </c>
      <c r="BI166" s="1000">
        <f t="shared" ref="BI166:BI171" si="96">+BH166/BG166*100</f>
        <v>0</v>
      </c>
      <c r="BJ166" s="1000">
        <f>SUM(BJ167:BJ169)</f>
        <v>0</v>
      </c>
      <c r="BK166" s="1000">
        <f t="shared" ref="BK166:BK172" si="97">+BJ166/BG166*100</f>
        <v>0</v>
      </c>
      <c r="BL166" s="1000">
        <f>SUM(BL167:BL169)</f>
        <v>0</v>
      </c>
      <c r="BM166" s="1000">
        <f t="shared" ref="BM166:BM171" si="98">+BL166/BG166*100</f>
        <v>0</v>
      </c>
      <c r="BN166" s="1000">
        <f>SUM(BN167:BN169)</f>
        <v>287937109</v>
      </c>
      <c r="BO166" s="1000">
        <f>SUM(BO167:BO169)</f>
        <v>0</v>
      </c>
      <c r="BP166" s="1000">
        <f>SUM(BP167:BP169)</f>
        <v>0</v>
      </c>
      <c r="BQ166" s="1000">
        <f t="shared" ref="BQ166:BQ179" si="99">SUM(BN166:BP166)</f>
        <v>287937109</v>
      </c>
      <c r="BR166" s="1000">
        <f>SUM(BR167:BR169)</f>
        <v>215714659</v>
      </c>
      <c r="BS166" s="1000">
        <f>SUM(BS167:BS169)</f>
        <v>0</v>
      </c>
      <c r="BT166" s="1000">
        <f>SUM(BT167:BT169)</f>
        <v>0</v>
      </c>
      <c r="BU166" s="1000">
        <f t="shared" ref="BU166:BU179" si="100">SUM(BR166:BT166)</f>
        <v>215714659</v>
      </c>
      <c r="BV166" s="1000">
        <f>SUM(BV167:BV169)</f>
        <v>359323365</v>
      </c>
      <c r="BW166" s="1000">
        <f>SUM(BW167:BW169)</f>
        <v>0</v>
      </c>
      <c r="BX166" s="1000">
        <f>SUM(BX167:BX169)</f>
        <v>0</v>
      </c>
      <c r="BY166" s="1000">
        <f t="shared" ref="BY166:BY179" si="101">SUM(BV166:BX166)</f>
        <v>359323365</v>
      </c>
      <c r="BZ166" s="1000">
        <f>SUM(BZ167:BZ169)</f>
        <v>872975133</v>
      </c>
      <c r="CA166" s="1000">
        <f>SUM(CA167:CA169)</f>
        <v>0</v>
      </c>
      <c r="CB166" s="1001">
        <f t="shared" ref="CB166:CB171" si="102">+CA166/BZ166*100</f>
        <v>0</v>
      </c>
      <c r="CC166" s="697"/>
      <c r="CD166" s="673"/>
      <c r="CE166" s="198"/>
      <c r="CF166" s="193">
        <f>SUM(BZ167:BZ169)</f>
        <v>872975133</v>
      </c>
      <c r="CI166" s="249"/>
      <c r="CL166" s="659"/>
      <c r="CX166" s="911">
        <f t="shared" si="82"/>
        <v>10000000</v>
      </c>
    </row>
    <row r="167" spans="1:105" ht="123.75" x14ac:dyDescent="0.2">
      <c r="A167" s="205"/>
      <c r="C167" s="2"/>
      <c r="D167" s="2"/>
      <c r="E167" s="248"/>
      <c r="F167" s="2"/>
      <c r="G167" s="2"/>
      <c r="H167" s="2"/>
      <c r="I167" s="2"/>
      <c r="J167" s="1483"/>
      <c r="K167" s="1484" t="s">
        <v>421</v>
      </c>
      <c r="L167" s="403"/>
      <c r="M167" s="24"/>
      <c r="N167" s="24"/>
      <c r="O167" s="24"/>
      <c r="P167" s="41" t="s">
        <v>388</v>
      </c>
      <c r="Q167" s="6"/>
      <c r="R167" s="396">
        <v>30</v>
      </c>
      <c r="S167" s="396">
        <v>30</v>
      </c>
      <c r="T167" s="396">
        <v>30</v>
      </c>
      <c r="U167" s="813" t="s">
        <v>628</v>
      </c>
      <c r="V167" s="1155" t="s">
        <v>147</v>
      </c>
      <c r="W167" s="223"/>
      <c r="X167" s="223"/>
      <c r="Y167" s="1302"/>
      <c r="Z167" s="1121"/>
      <c r="AA167" s="1302"/>
      <c r="AB167" s="223">
        <v>100</v>
      </c>
      <c r="AC167" s="223"/>
      <c r="AD167" s="223">
        <f>(((AC167/AB167*100)*AM167)/100)</f>
        <v>0</v>
      </c>
      <c r="AE167" s="420" t="s">
        <v>1338</v>
      </c>
      <c r="AF167" s="223">
        <v>0</v>
      </c>
      <c r="AG167" s="223">
        <v>100</v>
      </c>
      <c r="AH167" s="223">
        <v>100</v>
      </c>
      <c r="AI167" s="425">
        <v>100</v>
      </c>
      <c r="AJ167" s="1156"/>
      <c r="AK167" s="541">
        <f>+AJ167/AI167*100</f>
        <v>0</v>
      </c>
      <c r="AL167" s="541"/>
      <c r="AM167" s="541">
        <v>30</v>
      </c>
      <c r="AN167" s="397"/>
      <c r="AO167" s="261">
        <v>0</v>
      </c>
      <c r="AP167" s="261">
        <v>0</v>
      </c>
      <c r="AQ167" s="261">
        <f t="shared" si="93"/>
        <v>0</v>
      </c>
      <c r="AR167" s="412"/>
      <c r="AS167" s="412"/>
      <c r="AT167" s="412"/>
      <c r="AU167" s="714">
        <v>0</v>
      </c>
      <c r="AV167" s="714">
        <v>0</v>
      </c>
      <c r="AW167" s="714">
        <f t="shared" si="94"/>
        <v>0</v>
      </c>
      <c r="AX167" s="781"/>
      <c r="AY167" s="692"/>
      <c r="AZ167" s="670"/>
      <c r="BA167" s="692"/>
      <c r="BB167" s="670"/>
      <c r="BC167" s="692"/>
      <c r="BD167" s="1031">
        <f>200000000-22062891</f>
        <v>177937109</v>
      </c>
      <c r="BE167" s="1031">
        <v>0</v>
      </c>
      <c r="BF167" s="1031">
        <v>0</v>
      </c>
      <c r="BG167" s="1031">
        <f t="shared" si="95"/>
        <v>177937109</v>
      </c>
      <c r="BH167" s="1031">
        <v>0</v>
      </c>
      <c r="BI167" s="1031">
        <f>+BH167/BG167*100</f>
        <v>0</v>
      </c>
      <c r="BJ167" s="1034">
        <v>0</v>
      </c>
      <c r="BK167" s="1031">
        <f t="shared" si="97"/>
        <v>0</v>
      </c>
      <c r="BL167" s="1034">
        <v>0</v>
      </c>
      <c r="BM167" s="964">
        <f>+BL167/BG167*100</f>
        <v>0</v>
      </c>
      <c r="BN167" s="964">
        <f>200000000-22062891</f>
        <v>177937109</v>
      </c>
      <c r="BO167" s="964">
        <v>0</v>
      </c>
      <c r="BP167" s="964">
        <v>0</v>
      </c>
      <c r="BQ167" s="964">
        <f t="shared" si="99"/>
        <v>177937109</v>
      </c>
      <c r="BR167" s="964">
        <f>150000000-14285341</f>
        <v>135714659</v>
      </c>
      <c r="BS167" s="964">
        <v>0</v>
      </c>
      <c r="BT167" s="964">
        <v>0</v>
      </c>
      <c r="BU167" s="964">
        <f t="shared" si="100"/>
        <v>135714659</v>
      </c>
      <c r="BV167" s="964">
        <v>269323365</v>
      </c>
      <c r="BW167" s="964">
        <v>0</v>
      </c>
      <c r="BX167" s="964">
        <v>0</v>
      </c>
      <c r="BY167" s="964">
        <f t="shared" si="101"/>
        <v>269323365</v>
      </c>
      <c r="BZ167" s="967">
        <f>+AW167+BG167+BU167+BY167</f>
        <v>582975133</v>
      </c>
      <c r="CA167" s="967">
        <f>+BH167+AX167</f>
        <v>0</v>
      </c>
      <c r="CB167" s="966">
        <f>+CA167/BZ167*100</f>
        <v>0</v>
      </c>
      <c r="CC167" s="910"/>
      <c r="CD167" s="1035"/>
      <c r="CE167" s="193"/>
      <c r="CI167" s="249"/>
      <c r="CL167" s="183"/>
      <c r="CX167" s="911">
        <f t="shared" si="82"/>
        <v>0</v>
      </c>
    </row>
    <row r="168" spans="1:105" ht="56.25" x14ac:dyDescent="0.2">
      <c r="A168" s="205"/>
      <c r="C168" s="2"/>
      <c r="D168" s="2"/>
      <c r="E168" s="248"/>
      <c r="F168" s="2"/>
      <c r="G168" s="2"/>
      <c r="H168" s="2"/>
      <c r="I168" s="2"/>
      <c r="J168" s="1483"/>
      <c r="K168" s="1484"/>
      <c r="L168" s="403"/>
      <c r="M168" s="24"/>
      <c r="N168" s="24"/>
      <c r="O168" s="24"/>
      <c r="P168" s="41" t="s">
        <v>389</v>
      </c>
      <c r="Q168" s="6"/>
      <c r="R168" s="396">
        <v>30</v>
      </c>
      <c r="S168" s="396">
        <v>30</v>
      </c>
      <c r="T168" s="396">
        <v>30</v>
      </c>
      <c r="U168" s="813" t="s">
        <v>474</v>
      </c>
      <c r="V168" s="1155" t="s">
        <v>137</v>
      </c>
      <c r="W168" s="223"/>
      <c r="X168" s="223"/>
      <c r="Y168" s="1302"/>
      <c r="Z168" s="1121"/>
      <c r="AA168" s="1302"/>
      <c r="AB168" s="223">
        <v>1</v>
      </c>
      <c r="AC168" s="223"/>
      <c r="AD168" s="223">
        <f>(((AC168/AB168*100)*AM168)/100)</f>
        <v>0</v>
      </c>
      <c r="AE168" s="420" t="s">
        <v>1338</v>
      </c>
      <c r="AF168" s="223">
        <v>0</v>
      </c>
      <c r="AG168" s="223">
        <v>1</v>
      </c>
      <c r="AH168" s="223">
        <v>1</v>
      </c>
      <c r="AI168" s="425">
        <v>1</v>
      </c>
      <c r="AJ168" s="1156"/>
      <c r="AK168" s="541">
        <f>+AJ168/AI168*100</f>
        <v>0</v>
      </c>
      <c r="AL168" s="541"/>
      <c r="AM168" s="541">
        <v>30</v>
      </c>
      <c r="AN168" s="397"/>
      <c r="AO168" s="261">
        <v>0</v>
      </c>
      <c r="AP168" s="261">
        <v>0</v>
      </c>
      <c r="AQ168" s="261">
        <f t="shared" si="93"/>
        <v>0</v>
      </c>
      <c r="AR168" s="412"/>
      <c r="AS168" s="412"/>
      <c r="AT168" s="412"/>
      <c r="AU168" s="714">
        <v>0</v>
      </c>
      <c r="AV168" s="714">
        <v>0</v>
      </c>
      <c r="AW168" s="714">
        <f t="shared" si="94"/>
        <v>0</v>
      </c>
      <c r="AX168" s="781"/>
      <c r="AY168" s="692"/>
      <c r="AZ168" s="670"/>
      <c r="BA168" s="692"/>
      <c r="BB168" s="670"/>
      <c r="BC168" s="692"/>
      <c r="BD168" s="1031">
        <v>70000000</v>
      </c>
      <c r="BE168" s="1031">
        <v>0</v>
      </c>
      <c r="BF168" s="1031">
        <v>0</v>
      </c>
      <c r="BG168" s="1031">
        <f t="shared" si="95"/>
        <v>70000000</v>
      </c>
      <c r="BH168" s="1031">
        <v>0</v>
      </c>
      <c r="BI168" s="1031">
        <f>+BH168/BG168*100</f>
        <v>0</v>
      </c>
      <c r="BJ168" s="1034">
        <v>0</v>
      </c>
      <c r="BK168" s="1031">
        <f t="shared" si="97"/>
        <v>0</v>
      </c>
      <c r="BL168" s="1034">
        <v>0</v>
      </c>
      <c r="BM168" s="964">
        <f>+BL168/BG168*100</f>
        <v>0</v>
      </c>
      <c r="BN168" s="964">
        <v>70000000</v>
      </c>
      <c r="BO168" s="964">
        <v>0</v>
      </c>
      <c r="BP168" s="964">
        <v>0</v>
      </c>
      <c r="BQ168" s="964">
        <f t="shared" si="99"/>
        <v>70000000</v>
      </c>
      <c r="BR168" s="964">
        <v>40000000</v>
      </c>
      <c r="BS168" s="964">
        <v>0</v>
      </c>
      <c r="BT168" s="964">
        <v>0</v>
      </c>
      <c r="BU168" s="964">
        <f t="shared" si="100"/>
        <v>40000000</v>
      </c>
      <c r="BV168" s="964">
        <v>50000000</v>
      </c>
      <c r="BW168" s="964">
        <v>0</v>
      </c>
      <c r="BX168" s="964">
        <v>0</v>
      </c>
      <c r="BY168" s="964">
        <f t="shared" si="101"/>
        <v>50000000</v>
      </c>
      <c r="BZ168" s="967">
        <f>+AW168+BG168+BU168+BY168</f>
        <v>160000000</v>
      </c>
      <c r="CA168" s="967">
        <f>+BH168+AX168</f>
        <v>0</v>
      </c>
      <c r="CB168" s="966">
        <f>+CA168/BZ168*100</f>
        <v>0</v>
      </c>
      <c r="CC168" s="910"/>
      <c r="CD168" s="1035"/>
      <c r="CE168" s="193"/>
      <c r="CI168" s="249"/>
      <c r="CL168" s="183"/>
      <c r="CX168" s="911">
        <f t="shared" si="82"/>
        <v>0</v>
      </c>
    </row>
    <row r="169" spans="1:105" ht="78.75" x14ac:dyDescent="0.2">
      <c r="A169" s="205"/>
      <c r="C169" s="2"/>
      <c r="D169" s="2"/>
      <c r="E169" s="248"/>
      <c r="F169" s="2"/>
      <c r="G169" s="2"/>
      <c r="H169" s="2"/>
      <c r="I169" s="2"/>
      <c r="J169" s="1483"/>
      <c r="K169" s="1484"/>
      <c r="L169" s="24"/>
      <c r="M169" s="24"/>
      <c r="N169" s="24"/>
      <c r="O169" s="24"/>
      <c r="P169" s="41" t="s">
        <v>390</v>
      </c>
      <c r="Q169" s="6"/>
      <c r="R169" s="396">
        <v>40</v>
      </c>
      <c r="S169" s="396">
        <v>40</v>
      </c>
      <c r="T169" s="396">
        <v>40</v>
      </c>
      <c r="U169" s="813" t="s">
        <v>577</v>
      </c>
      <c r="V169" s="1155" t="s">
        <v>137</v>
      </c>
      <c r="W169" s="223"/>
      <c r="X169" s="223"/>
      <c r="Y169" s="1302"/>
      <c r="Z169" s="1121"/>
      <c r="AA169" s="1302"/>
      <c r="AB169" s="223">
        <v>1</v>
      </c>
      <c r="AC169" s="223"/>
      <c r="AD169" s="223">
        <f>(((AC169/AB169*100)*AM169)/100)</f>
        <v>0</v>
      </c>
      <c r="AE169" s="420" t="s">
        <v>1338</v>
      </c>
      <c r="AF169" s="223">
        <v>0</v>
      </c>
      <c r="AG169" s="223">
        <v>1</v>
      </c>
      <c r="AH169" s="223">
        <v>1</v>
      </c>
      <c r="AI169" s="425">
        <v>1</v>
      </c>
      <c r="AJ169" s="1156"/>
      <c r="AK169" s="541">
        <f>+AJ169/AI169*100</f>
        <v>0</v>
      </c>
      <c r="AL169" s="541"/>
      <c r="AM169" s="541">
        <v>40</v>
      </c>
      <c r="AN169" s="397"/>
      <c r="AO169" s="261">
        <v>0</v>
      </c>
      <c r="AP169" s="261">
        <v>0</v>
      </c>
      <c r="AQ169" s="261">
        <f t="shared" si="93"/>
        <v>0</v>
      </c>
      <c r="AR169" s="412"/>
      <c r="AS169" s="412"/>
      <c r="AT169" s="412"/>
      <c r="AU169" s="714">
        <v>0</v>
      </c>
      <c r="AV169" s="714">
        <v>0</v>
      </c>
      <c r="AW169" s="714">
        <f t="shared" si="94"/>
        <v>0</v>
      </c>
      <c r="AX169" s="781"/>
      <c r="AY169" s="692"/>
      <c r="AZ169" s="670"/>
      <c r="BA169" s="692"/>
      <c r="BB169" s="670"/>
      <c r="BC169" s="692"/>
      <c r="BD169" s="1078">
        <v>50000000</v>
      </c>
      <c r="BE169" s="1031">
        <v>0</v>
      </c>
      <c r="BF169" s="1031">
        <v>0</v>
      </c>
      <c r="BG169" s="1031">
        <f t="shared" si="95"/>
        <v>50000000</v>
      </c>
      <c r="BH169" s="1031">
        <v>0</v>
      </c>
      <c r="BI169" s="1031">
        <f>+BH169/BG169*100</f>
        <v>0</v>
      </c>
      <c r="BJ169" s="1034">
        <v>0</v>
      </c>
      <c r="BK169" s="1031">
        <f t="shared" si="97"/>
        <v>0</v>
      </c>
      <c r="BL169" s="1034">
        <v>0</v>
      </c>
      <c r="BM169" s="964">
        <f>+BL169/BG169*100</f>
        <v>0</v>
      </c>
      <c r="BN169" s="964">
        <v>40000000</v>
      </c>
      <c r="BO169" s="964">
        <v>0</v>
      </c>
      <c r="BP169" s="964">
        <v>0</v>
      </c>
      <c r="BQ169" s="964">
        <f t="shared" si="99"/>
        <v>40000000</v>
      </c>
      <c r="BR169" s="964">
        <v>40000000</v>
      </c>
      <c r="BS169" s="964">
        <v>0</v>
      </c>
      <c r="BT169" s="964">
        <v>0</v>
      </c>
      <c r="BU169" s="964">
        <f t="shared" si="100"/>
        <v>40000000</v>
      </c>
      <c r="BV169" s="964">
        <v>40000000</v>
      </c>
      <c r="BW169" s="964">
        <v>0</v>
      </c>
      <c r="BX169" s="964">
        <v>0</v>
      </c>
      <c r="BY169" s="964">
        <f t="shared" si="101"/>
        <v>40000000</v>
      </c>
      <c r="BZ169" s="967">
        <f>+AW169+BG169+BU169+BY169</f>
        <v>130000000</v>
      </c>
      <c r="CA169" s="967">
        <f>+BH169+AX169</f>
        <v>0</v>
      </c>
      <c r="CB169" s="966">
        <f>+CA169/BZ169*100</f>
        <v>0</v>
      </c>
      <c r="CC169" s="910"/>
      <c r="CD169" s="1035"/>
      <c r="CE169" s="193"/>
      <c r="CI169" s="249"/>
      <c r="CL169" s="183"/>
      <c r="CX169" s="911">
        <f t="shared" si="82"/>
        <v>10000000</v>
      </c>
    </row>
    <row r="170" spans="1:105" s="1" customFormat="1" ht="121.9" customHeight="1" x14ac:dyDescent="0.2">
      <c r="A170" s="321"/>
      <c r="C170" s="289" t="s">
        <v>668</v>
      </c>
      <c r="D170" s="290" t="s">
        <v>673</v>
      </c>
      <c r="E170" s="289" t="s">
        <v>854</v>
      </c>
      <c r="F170" s="309">
        <v>10</v>
      </c>
      <c r="G170" s="309">
        <v>10</v>
      </c>
      <c r="H170" s="309">
        <v>10</v>
      </c>
      <c r="I170" s="309">
        <v>10</v>
      </c>
      <c r="J170" s="1197"/>
      <c r="K170" s="1198"/>
      <c r="L170" s="1161"/>
      <c r="M170" s="1161"/>
      <c r="N170" s="1161"/>
      <c r="O170" s="1161"/>
      <c r="P170" s="1198"/>
      <c r="Q170" s="1162"/>
      <c r="R170" s="1162"/>
      <c r="S170" s="1162"/>
      <c r="T170" s="1162"/>
      <c r="U170" s="1161"/>
      <c r="V170" s="1199"/>
      <c r="W170" s="1200"/>
      <c r="X170" s="1200"/>
      <c r="Y170" s="1201">
        <f>(((Y171+Y178)*AL170)/100)</f>
        <v>10</v>
      </c>
      <c r="Z170" s="1177"/>
      <c r="AA170" s="1201">
        <f>(((AA171+AA178)*AL170)/100)</f>
        <v>3.6875</v>
      </c>
      <c r="AB170" s="1200"/>
      <c r="AC170" s="1202"/>
      <c r="AD170" s="1202">
        <f>(((AD171+AD178)*AM170)/100)</f>
        <v>1.862857142857143</v>
      </c>
      <c r="AE170" s="1200"/>
      <c r="AF170" s="1202">
        <f>(AF171+AF178)/2</f>
        <v>25.186250000000001</v>
      </c>
      <c r="AG170" s="1200"/>
      <c r="AH170" s="1200"/>
      <c r="AI170" s="1164"/>
      <c r="AJ170" s="1165"/>
      <c r="AK170" s="1201">
        <f>((AK171+AK178)/2)</f>
        <v>28.948000672043012</v>
      </c>
      <c r="AL170" s="1201">
        <f>+F170</f>
        <v>10</v>
      </c>
      <c r="AM170" s="1201">
        <v>10</v>
      </c>
      <c r="AN170" s="1168"/>
      <c r="AO170" s="318">
        <f>+AO171+AO178</f>
        <v>260000000</v>
      </c>
      <c r="AP170" s="318">
        <f>+AP171+AP178</f>
        <v>0</v>
      </c>
      <c r="AQ170" s="318">
        <f t="shared" si="93"/>
        <v>260000000</v>
      </c>
      <c r="AR170" s="407">
        <f>+AR171+AR178</f>
        <v>415398443</v>
      </c>
      <c r="AS170" s="407">
        <f>+AS171+AS178</f>
        <v>0</v>
      </c>
      <c r="AT170" s="407">
        <f>+AT171+AT178</f>
        <v>415398443</v>
      </c>
      <c r="AU170" s="704">
        <f>+AU171+AU178</f>
        <v>415398443</v>
      </c>
      <c r="AV170" s="704">
        <f>+AV171+AV178</f>
        <v>0</v>
      </c>
      <c r="AW170" s="704">
        <f t="shared" si="94"/>
        <v>415398443</v>
      </c>
      <c r="AX170" s="717">
        <f>+AX171+AX178</f>
        <v>371772361</v>
      </c>
      <c r="AY170" s="661">
        <f>+AX170/AW170*100</f>
        <v>89.497774309182958</v>
      </c>
      <c r="AZ170" s="662">
        <f>+AZ171+AZ178</f>
        <v>339573193</v>
      </c>
      <c r="BA170" s="661">
        <f>+AZ170/AW170*100</f>
        <v>81.746380787469633</v>
      </c>
      <c r="BB170" s="662">
        <f>+BB171+BB178</f>
        <v>339573193</v>
      </c>
      <c r="BC170" s="661">
        <f>+BB170/AW170*100</f>
        <v>81.746380787469633</v>
      </c>
      <c r="BD170" s="944">
        <f>+BD171+BD178</f>
        <v>416489290</v>
      </c>
      <c r="BE170" s="944">
        <f>+BE171+BE178</f>
        <v>0</v>
      </c>
      <c r="BF170" s="944">
        <f>+BF171+BF178</f>
        <v>0</v>
      </c>
      <c r="BG170" s="944">
        <f t="shared" si="95"/>
        <v>416489290</v>
      </c>
      <c r="BH170" s="944">
        <f>+BH171+BH178</f>
        <v>262227413</v>
      </c>
      <c r="BI170" s="944">
        <f t="shared" si="96"/>
        <v>62.96138203217663</v>
      </c>
      <c r="BJ170" s="944">
        <f>+BJ171+BJ178</f>
        <v>41389048</v>
      </c>
      <c r="BK170" s="944">
        <f t="shared" si="97"/>
        <v>9.9376019969204972</v>
      </c>
      <c r="BL170" s="944">
        <f>+BL171+BL178</f>
        <v>41389048</v>
      </c>
      <c r="BM170" s="944">
        <f t="shared" si="98"/>
        <v>9.9376019969204972</v>
      </c>
      <c r="BN170" s="944">
        <f>+BN171+BN178</f>
        <v>430600000</v>
      </c>
      <c r="BO170" s="944">
        <f>+BO171+BO178</f>
        <v>0</v>
      </c>
      <c r="BP170" s="944">
        <f>+BP171+BP178</f>
        <v>0</v>
      </c>
      <c r="BQ170" s="944">
        <f t="shared" si="99"/>
        <v>430600000</v>
      </c>
      <c r="BR170" s="944">
        <f>+BR171+BR178</f>
        <v>491848000</v>
      </c>
      <c r="BS170" s="944">
        <f>+BS171+BS178</f>
        <v>0</v>
      </c>
      <c r="BT170" s="944">
        <f>+BT171+BT178</f>
        <v>0</v>
      </c>
      <c r="BU170" s="944">
        <f t="shared" si="100"/>
        <v>491848000</v>
      </c>
      <c r="BV170" s="944">
        <f>+BV171+BV178</f>
        <v>458344960</v>
      </c>
      <c r="BW170" s="944">
        <f>+BW171+BW178</f>
        <v>0</v>
      </c>
      <c r="BX170" s="944">
        <f>+BX171+BX178</f>
        <v>200000000</v>
      </c>
      <c r="BY170" s="944">
        <f t="shared" si="101"/>
        <v>658344960</v>
      </c>
      <c r="BZ170" s="965">
        <f>+AW170+BG170+BU170+BY170</f>
        <v>1982080693</v>
      </c>
      <c r="CA170" s="965">
        <f>+CA171+CA178</f>
        <v>633999774</v>
      </c>
      <c r="CB170" s="946">
        <f t="shared" si="102"/>
        <v>31.986577349704298</v>
      </c>
      <c r="CC170" s="698"/>
      <c r="CD170" s="661"/>
      <c r="CE170" s="334" t="e">
        <f>+BZ170/#REF!*100</f>
        <v>#REF!</v>
      </c>
      <c r="CF170" s="198"/>
      <c r="CG170" s="238"/>
      <c r="CH170" s="7"/>
      <c r="CI170" s="7"/>
      <c r="CJ170" s="7"/>
      <c r="CL170" s="197"/>
      <c r="CX170" s="911">
        <f t="shared" si="82"/>
        <v>-14110710</v>
      </c>
      <c r="CY170" s="1008"/>
      <c r="DA170" s="1066"/>
    </row>
    <row r="171" spans="1:105" s="830" customFormat="1" ht="78.75" customHeight="1" x14ac:dyDescent="0.2">
      <c r="A171" s="819" t="s">
        <v>88</v>
      </c>
      <c r="C171" s="817"/>
      <c r="D171" s="817"/>
      <c r="E171" s="817"/>
      <c r="F171" s="817"/>
      <c r="G171" s="817"/>
      <c r="H171" s="817"/>
      <c r="I171" s="817"/>
      <c r="J171" s="1205" t="s">
        <v>855</v>
      </c>
      <c r="K171" s="1205"/>
      <c r="L171" s="1209">
        <v>50</v>
      </c>
      <c r="M171" s="1209">
        <v>50</v>
      </c>
      <c r="N171" s="1209">
        <v>50</v>
      </c>
      <c r="O171" s="1209">
        <v>50</v>
      </c>
      <c r="P171" s="1138"/>
      <c r="Q171" s="1227"/>
      <c r="R171" s="1227"/>
      <c r="S171" s="1227"/>
      <c r="T171" s="1227"/>
      <c r="U171" s="1227"/>
      <c r="V171" s="1228"/>
      <c r="W171" s="1229"/>
      <c r="X171" s="1229"/>
      <c r="Y171" s="1229">
        <f>(((((Y172+Y173)/2)+Y174+Y175)*AL171)/100)</f>
        <v>50</v>
      </c>
      <c r="Z171" s="1229"/>
      <c r="AA171" s="1229">
        <f>((((AA172+AA173+AA174+AA175)/4)*AL171)/100)</f>
        <v>16.875</v>
      </c>
      <c r="AB171" s="1229"/>
      <c r="AC171" s="1229"/>
      <c r="AD171" s="1230">
        <f>(((((AD172+AD173)/2)+AD174+AD175+AD176)*AM171)/100)</f>
        <v>13.033333333333333</v>
      </c>
      <c r="AE171" s="1229"/>
      <c r="AF171" s="1230">
        <f>(AF172+AF173+AF174+AF175+AF176)/5</f>
        <v>25.4</v>
      </c>
      <c r="AG171" s="1229"/>
      <c r="AH171" s="1229"/>
      <c r="AI171" s="1229"/>
      <c r="AJ171" s="1229"/>
      <c r="AK171" s="1229">
        <f>((AK172+AK173+AK174+AK175)/4)</f>
        <v>29.901209677419356</v>
      </c>
      <c r="AL171" s="1229">
        <f>+L171</f>
        <v>50</v>
      </c>
      <c r="AM171" s="1229">
        <v>50</v>
      </c>
      <c r="AN171" s="1255"/>
      <c r="AO171" s="821">
        <f>SUM(AO172:AO177)</f>
        <v>180000000</v>
      </c>
      <c r="AP171" s="821">
        <f>SUM(AP172:AP177)</f>
        <v>0</v>
      </c>
      <c r="AQ171" s="821">
        <f t="shared" si="93"/>
        <v>180000000</v>
      </c>
      <c r="AR171" s="822">
        <f>+AR172</f>
        <v>304592384</v>
      </c>
      <c r="AS171" s="822">
        <f>+AS172</f>
        <v>0</v>
      </c>
      <c r="AT171" s="822">
        <f>+AT172</f>
        <v>304592384</v>
      </c>
      <c r="AU171" s="823">
        <f>SUM(AU172:AU177)</f>
        <v>304592384</v>
      </c>
      <c r="AV171" s="823">
        <f>SUM(AV172:AV177)</f>
        <v>0</v>
      </c>
      <c r="AW171" s="823">
        <f t="shared" si="94"/>
        <v>304592384</v>
      </c>
      <c r="AX171" s="824">
        <f>+AX172</f>
        <v>278984859</v>
      </c>
      <c r="AY171" s="825">
        <f>+AX171/AW171*100</f>
        <v>91.592854468744704</v>
      </c>
      <c r="AZ171" s="826">
        <f>+AZ172</f>
        <v>276089344</v>
      </c>
      <c r="BA171" s="825">
        <f>+AZ171/AW171*100</f>
        <v>90.642234836705569</v>
      </c>
      <c r="BB171" s="826">
        <f>+BB172</f>
        <v>276089344</v>
      </c>
      <c r="BC171" s="825">
        <f>+BB171/AW171*100</f>
        <v>90.642234836705569</v>
      </c>
      <c r="BD171" s="947">
        <f>SUM(BD172:BD177)</f>
        <v>302400000</v>
      </c>
      <c r="BE171" s="947">
        <f>SUM(BE172:BE177)</f>
        <v>0</v>
      </c>
      <c r="BF171" s="947">
        <f>SUM(BF172:BF177)</f>
        <v>0</v>
      </c>
      <c r="BG171" s="947">
        <f>SUM(BD171:BF171)</f>
        <v>302400000</v>
      </c>
      <c r="BH171" s="947">
        <f>SUM(BH172:BH177)</f>
        <v>174945613</v>
      </c>
      <c r="BI171" s="947">
        <f t="shared" si="96"/>
        <v>57.852385251322744</v>
      </c>
      <c r="BJ171" s="947">
        <f>SUM(BJ172:BJ177)</f>
        <v>24125023</v>
      </c>
      <c r="BK171" s="947">
        <f t="shared" si="97"/>
        <v>7.9778515211640215</v>
      </c>
      <c r="BL171" s="947">
        <f>SUM(BL172:BL177)</f>
        <v>24125023</v>
      </c>
      <c r="BM171" s="947">
        <f t="shared" si="98"/>
        <v>7.9778515211640215</v>
      </c>
      <c r="BN171" s="947">
        <f>SUM(BN172:BN177)</f>
        <v>302400000</v>
      </c>
      <c r="BO171" s="947">
        <f>SUM(BO172:BO177)</f>
        <v>0</v>
      </c>
      <c r="BP171" s="947">
        <f>SUM(BP172:BP177)</f>
        <v>0</v>
      </c>
      <c r="BQ171" s="947">
        <f t="shared" si="99"/>
        <v>302400000</v>
      </c>
      <c r="BR171" s="947">
        <f>SUM(BR172:BR177)</f>
        <v>359848000</v>
      </c>
      <c r="BS171" s="947">
        <f>SUM(BS172:BS177)</f>
        <v>0</v>
      </c>
      <c r="BT171" s="947">
        <f>SUM(BT172:BT177)</f>
        <v>0</v>
      </c>
      <c r="BU171" s="947">
        <f t="shared" si="100"/>
        <v>359848000</v>
      </c>
      <c r="BV171" s="947">
        <f>SUM(BV172:BV177)</f>
        <v>322344960</v>
      </c>
      <c r="BW171" s="947">
        <f>SUM(BW172:BW177)</f>
        <v>0</v>
      </c>
      <c r="BX171" s="947">
        <f>SUM(BX172:BX177)</f>
        <v>200000000</v>
      </c>
      <c r="BY171" s="947">
        <f>SUM(BV171:BX171)</f>
        <v>522344960</v>
      </c>
      <c r="BZ171" s="948">
        <f>+AW171+BG171+BU171+BY171</f>
        <v>1489185344</v>
      </c>
      <c r="CA171" s="948">
        <f>+CA172</f>
        <v>453930472</v>
      </c>
      <c r="CB171" s="949">
        <f t="shared" si="102"/>
        <v>30.481798241495451</v>
      </c>
      <c r="CC171" s="827"/>
      <c r="CD171" s="825"/>
      <c r="CE171" s="828"/>
      <c r="CF171" s="834">
        <f>SUM(BZ172:BZ177)</f>
        <v>1489185344</v>
      </c>
      <c r="CG171" s="829">
        <v>124592384</v>
      </c>
      <c r="CH171" s="815"/>
      <c r="CI171" s="815"/>
      <c r="CJ171" s="846"/>
      <c r="CL171" s="821"/>
      <c r="CX171" s="911">
        <f t="shared" si="82"/>
        <v>0</v>
      </c>
      <c r="CY171" s="1009"/>
      <c r="DA171" s="1067"/>
    </row>
    <row r="172" spans="1:105" s="68" customFormat="1" ht="191.25" x14ac:dyDescent="0.2">
      <c r="A172" s="1485" t="s">
        <v>89</v>
      </c>
      <c r="C172" s="525"/>
      <c r="D172" s="525"/>
      <c r="E172" s="539"/>
      <c r="F172" s="525"/>
      <c r="G172" s="525"/>
      <c r="H172" s="525"/>
      <c r="I172" s="525"/>
      <c r="J172" s="1491"/>
      <c r="K172" s="1494" t="s">
        <v>421</v>
      </c>
      <c r="L172" s="519"/>
      <c r="M172" s="519"/>
      <c r="N172" s="519"/>
      <c r="O172" s="519"/>
      <c r="P172" s="1449" t="s">
        <v>588</v>
      </c>
      <c r="Q172" s="1487"/>
      <c r="R172" s="1487"/>
      <c r="S172" s="1487"/>
      <c r="T172" s="1487"/>
      <c r="U172" s="750" t="s">
        <v>1119</v>
      </c>
      <c r="V172" s="1155" t="s">
        <v>147</v>
      </c>
      <c r="W172" s="223">
        <v>100</v>
      </c>
      <c r="X172" s="223">
        <v>100</v>
      </c>
      <c r="Y172" s="1302">
        <v>40</v>
      </c>
      <c r="Z172" s="1121" t="s">
        <v>1100</v>
      </c>
      <c r="AA172" s="1302">
        <f>+Y172</f>
        <v>40</v>
      </c>
      <c r="AB172" s="223">
        <v>100</v>
      </c>
      <c r="AC172" s="223">
        <v>27</v>
      </c>
      <c r="AD172" s="223">
        <f>(((AC172/AB172*100)*AM172)/100)</f>
        <v>10.8</v>
      </c>
      <c r="AE172" s="1121" t="s">
        <v>1309</v>
      </c>
      <c r="AF172" s="223">
        <v>27</v>
      </c>
      <c r="AG172" s="223">
        <v>100</v>
      </c>
      <c r="AH172" s="223">
        <v>100</v>
      </c>
      <c r="AI172" s="425">
        <v>100</v>
      </c>
      <c r="AJ172" s="1136">
        <f>+((X172+AC172)/400)*100</f>
        <v>31.75</v>
      </c>
      <c r="AK172" s="541">
        <v>25</v>
      </c>
      <c r="AL172" s="1410">
        <v>40</v>
      </c>
      <c r="AM172" s="1410">
        <v>40</v>
      </c>
      <c r="AN172" s="564" t="s">
        <v>807</v>
      </c>
      <c r="AO172" s="1422">
        <v>60000000</v>
      </c>
      <c r="AP172" s="1422"/>
      <c r="AQ172" s="1422">
        <f t="shared" si="93"/>
        <v>60000000</v>
      </c>
      <c r="AR172" s="1426">
        <v>304592384</v>
      </c>
      <c r="AS172" s="1426"/>
      <c r="AT172" s="1426">
        <f>+AR172+AS172</f>
        <v>304592384</v>
      </c>
      <c r="AU172" s="1419">
        <v>304592384</v>
      </c>
      <c r="AV172" s="1419"/>
      <c r="AW172" s="1419">
        <f t="shared" si="94"/>
        <v>304592384</v>
      </c>
      <c r="AX172" s="1413">
        <v>278984859</v>
      </c>
      <c r="AY172" s="1407">
        <f>+AX172/AW172*100</f>
        <v>91.592854468744704</v>
      </c>
      <c r="AZ172" s="1404">
        <v>276089344</v>
      </c>
      <c r="BA172" s="1407">
        <f>+AZ172/AW172*100</f>
        <v>90.642234836705569</v>
      </c>
      <c r="BB172" s="1404">
        <v>276089344</v>
      </c>
      <c r="BC172" s="1407">
        <f>+BB172/AW172*100</f>
        <v>90.642234836705569</v>
      </c>
      <c r="BD172" s="1388">
        <f>ROUND(AO172*0.02,0)+AO172+61200000</f>
        <v>122400000</v>
      </c>
      <c r="BE172" s="1388"/>
      <c r="BF172" s="1388"/>
      <c r="BG172" s="1388">
        <f>SUM(BD172:BF172)</f>
        <v>122400000</v>
      </c>
      <c r="BH172" s="1388">
        <v>101513656</v>
      </c>
      <c r="BI172" s="1388">
        <f>+BH172/BG172*100</f>
        <v>82.935993464052288</v>
      </c>
      <c r="BJ172" s="1388">
        <v>15257023</v>
      </c>
      <c r="BK172" s="1388">
        <f t="shared" si="97"/>
        <v>12.464888071895425</v>
      </c>
      <c r="BL172" s="1388">
        <v>15257023</v>
      </c>
      <c r="BM172" s="1388">
        <f>+BL172/BG172*100</f>
        <v>12.464888071895425</v>
      </c>
      <c r="BN172" s="1388">
        <f>+ROUND(AO172*0.02,0)+AO172+61200000</f>
        <v>122400000</v>
      </c>
      <c r="BO172" s="1388"/>
      <c r="BP172" s="1388"/>
      <c r="BQ172" s="1388">
        <f t="shared" si="99"/>
        <v>122400000</v>
      </c>
      <c r="BR172" s="1489">
        <f>+ROUND(BN172*0.02,0)+BN172</f>
        <v>124848000</v>
      </c>
      <c r="BS172" s="1489"/>
      <c r="BT172" s="1489"/>
      <c r="BU172" s="1388">
        <f>SUM(BR172:BT172)</f>
        <v>124848000</v>
      </c>
      <c r="BV172" s="1388">
        <f>+ROUND(BR172*0.02,0)+BR172</f>
        <v>127344960</v>
      </c>
      <c r="BW172" s="1388"/>
      <c r="BX172" s="1388"/>
      <c r="BY172" s="1388">
        <f>SUM(BV172:BX172)</f>
        <v>127344960</v>
      </c>
      <c r="BZ172" s="1401">
        <f>+(SUM(BU172:BU173))+(SUM(BY172:BY173))+BG172+AW172</f>
        <v>789185344</v>
      </c>
      <c r="CA172" s="1401">
        <f>+BH172+AX172+BH174+BH175+BH176+BH177</f>
        <v>453930472</v>
      </c>
      <c r="CB172" s="1434">
        <f>+CA172/(SUM(BZ172:BZ177))*100</f>
        <v>30.481798241495451</v>
      </c>
      <c r="CC172" s="1436" t="s">
        <v>905</v>
      </c>
      <c r="CD172" s="1407"/>
      <c r="CE172" s="542"/>
      <c r="CF172" s="528"/>
      <c r="CG172" s="529"/>
      <c r="CH172" s="64"/>
      <c r="CI172" s="64"/>
      <c r="CJ172" s="64"/>
      <c r="CL172" s="251"/>
      <c r="CX172" s="911">
        <f t="shared" si="82"/>
        <v>0</v>
      </c>
      <c r="CY172" s="1010"/>
      <c r="DA172" s="1068"/>
    </row>
    <row r="173" spans="1:105" s="68" customFormat="1" ht="156" customHeight="1" x14ac:dyDescent="0.2">
      <c r="A173" s="1486"/>
      <c r="C173" s="525"/>
      <c r="D173" s="525"/>
      <c r="E173" s="539"/>
      <c r="F173" s="525"/>
      <c r="G173" s="525"/>
      <c r="H173" s="525"/>
      <c r="I173" s="525"/>
      <c r="J173" s="1492"/>
      <c r="K173" s="1495"/>
      <c r="L173" s="520"/>
      <c r="M173" s="520"/>
      <c r="N173" s="520"/>
      <c r="O173" s="520"/>
      <c r="P173" s="1451"/>
      <c r="Q173" s="1488"/>
      <c r="R173" s="1488"/>
      <c r="S173" s="1488"/>
      <c r="T173" s="1488"/>
      <c r="U173" s="750" t="s">
        <v>808</v>
      </c>
      <c r="V173" s="1155" t="s">
        <v>137</v>
      </c>
      <c r="W173" s="223">
        <v>20</v>
      </c>
      <c r="X173" s="223">
        <v>20</v>
      </c>
      <c r="Y173" s="1302">
        <v>40</v>
      </c>
      <c r="Z173" s="1134" t="s">
        <v>1120</v>
      </c>
      <c r="AA173" s="1302">
        <f>+Y173</f>
        <v>40</v>
      </c>
      <c r="AB173" s="223">
        <v>20</v>
      </c>
      <c r="AC173" s="223">
        <v>5</v>
      </c>
      <c r="AD173" s="223">
        <f>(((AC173/AB173*100)*AM172)/100)</f>
        <v>10</v>
      </c>
      <c r="AE173" s="1121" t="s">
        <v>1348</v>
      </c>
      <c r="AF173" s="223">
        <v>30</v>
      </c>
      <c r="AG173" s="223">
        <v>20</v>
      </c>
      <c r="AH173" s="223">
        <v>20</v>
      </c>
      <c r="AI173" s="425">
        <f>+W173+AB173+AG173+AH173</f>
        <v>80</v>
      </c>
      <c r="AJ173" s="1136">
        <f>+X173+AC173</f>
        <v>25</v>
      </c>
      <c r="AK173" s="541">
        <f>+AJ173/AI173*100</f>
        <v>31.25</v>
      </c>
      <c r="AL173" s="1412"/>
      <c r="AM173" s="1411"/>
      <c r="AN173" s="538"/>
      <c r="AO173" s="1423"/>
      <c r="AP173" s="1423"/>
      <c r="AQ173" s="1423">
        <f t="shared" si="93"/>
        <v>0</v>
      </c>
      <c r="AR173" s="1427"/>
      <c r="AS173" s="1427"/>
      <c r="AT173" s="1427"/>
      <c r="AU173" s="1420"/>
      <c r="AV173" s="1420"/>
      <c r="AW173" s="1420"/>
      <c r="AX173" s="1414"/>
      <c r="AY173" s="1408" t="e">
        <f>+AX173/AR173*100</f>
        <v>#DIV/0!</v>
      </c>
      <c r="AZ173" s="1405"/>
      <c r="BA173" s="1424" t="e">
        <f>+AZ173/AT173*100</f>
        <v>#DIV/0!</v>
      </c>
      <c r="BB173" s="1405"/>
      <c r="BC173" s="1408" t="e">
        <f>+BB173/AY173*100</f>
        <v>#DIV/0!</v>
      </c>
      <c r="BD173" s="1390"/>
      <c r="BE173" s="1390"/>
      <c r="BF173" s="1390"/>
      <c r="BG173" s="1390">
        <f t="shared" si="95"/>
        <v>0</v>
      </c>
      <c r="BH173" s="1390"/>
      <c r="BI173" s="1390"/>
      <c r="BJ173" s="1390"/>
      <c r="BK173" s="1390"/>
      <c r="BL173" s="1390"/>
      <c r="BM173" s="1390"/>
      <c r="BN173" s="1390"/>
      <c r="BO173" s="1390"/>
      <c r="BP173" s="1390"/>
      <c r="BQ173" s="1390">
        <f t="shared" si="99"/>
        <v>0</v>
      </c>
      <c r="BR173" s="1490">
        <v>55000000</v>
      </c>
      <c r="BS173" s="1490"/>
      <c r="BT173" s="1490"/>
      <c r="BU173" s="1390">
        <f t="shared" si="100"/>
        <v>55000000</v>
      </c>
      <c r="BV173" s="1390">
        <v>55000000</v>
      </c>
      <c r="BW173" s="1390"/>
      <c r="BX173" s="1390"/>
      <c r="BY173" s="1390">
        <f t="shared" si="101"/>
        <v>55000000</v>
      </c>
      <c r="BZ173" s="1403"/>
      <c r="CA173" s="1402"/>
      <c r="CB173" s="1435" t="e">
        <f>+CA173/BX173*100</f>
        <v>#DIV/0!</v>
      </c>
      <c r="CC173" s="1437"/>
      <c r="CD173" s="1408"/>
      <c r="CE173" s="542"/>
      <c r="CF173" s="528"/>
      <c r="CG173" s="529"/>
      <c r="CH173" s="64"/>
      <c r="CI173" s="64"/>
      <c r="CJ173" s="64"/>
      <c r="CL173" s="523"/>
      <c r="CX173" s="911">
        <f t="shared" si="82"/>
        <v>0</v>
      </c>
      <c r="CY173" s="1010"/>
      <c r="DA173" s="1110" t="s">
        <v>1310</v>
      </c>
    </row>
    <row r="174" spans="1:105" s="68" customFormat="1" ht="191.25" x14ac:dyDescent="0.2">
      <c r="A174" s="647" t="s">
        <v>90</v>
      </c>
      <c r="C174" s="525"/>
      <c r="D174" s="525"/>
      <c r="E174" s="539"/>
      <c r="F174" s="525"/>
      <c r="G174" s="525"/>
      <c r="H174" s="525"/>
      <c r="I174" s="525"/>
      <c r="J174" s="1492"/>
      <c r="K174" s="1495"/>
      <c r="L174" s="520"/>
      <c r="M174" s="520"/>
      <c r="N174" s="520"/>
      <c r="O174" s="520"/>
      <c r="P174" s="16" t="s">
        <v>732</v>
      </c>
      <c r="Q174" s="602"/>
      <c r="R174" s="602"/>
      <c r="S174" s="602"/>
      <c r="T174" s="602"/>
      <c r="U174" s="16" t="s">
        <v>709</v>
      </c>
      <c r="V174" s="1155" t="s">
        <v>137</v>
      </c>
      <c r="W174" s="223">
        <v>1</v>
      </c>
      <c r="X174" s="223">
        <v>1</v>
      </c>
      <c r="Y174" s="1302">
        <v>30</v>
      </c>
      <c r="Z174" s="1121" t="s">
        <v>912</v>
      </c>
      <c r="AA174" s="1302">
        <v>25</v>
      </c>
      <c r="AB174" s="223">
        <v>30</v>
      </c>
      <c r="AC174" s="223">
        <v>5</v>
      </c>
      <c r="AD174" s="223">
        <f>(((AC174/AB174*100)*AM172)/100)</f>
        <v>6.6666666666666652</v>
      </c>
      <c r="AE174" s="1121" t="s">
        <v>1311</v>
      </c>
      <c r="AF174" s="223">
        <v>30</v>
      </c>
      <c r="AG174" s="223"/>
      <c r="AH174" s="223"/>
      <c r="AI174" s="425">
        <f>+W174+AB174+AG174+AH174</f>
        <v>31</v>
      </c>
      <c r="AJ174" s="1136">
        <f>+X174+AC174</f>
        <v>6</v>
      </c>
      <c r="AK174" s="541">
        <f>+AJ174/AI174*100</f>
        <v>19.35483870967742</v>
      </c>
      <c r="AL174" s="1342">
        <v>30</v>
      </c>
      <c r="AM174" s="1412"/>
      <c r="AN174" s="560"/>
      <c r="AO174" s="251">
        <v>60000000</v>
      </c>
      <c r="AP174" s="251"/>
      <c r="AQ174" s="251">
        <f t="shared" si="93"/>
        <v>60000000</v>
      </c>
      <c r="AR174" s="1427"/>
      <c r="AS174" s="1427"/>
      <c r="AT174" s="1427"/>
      <c r="AU174" s="1420"/>
      <c r="AV174" s="1420"/>
      <c r="AW174" s="1420"/>
      <c r="AX174" s="1414"/>
      <c r="AY174" s="1408" t="e">
        <f>+AX174/AR174*100</f>
        <v>#DIV/0!</v>
      </c>
      <c r="AZ174" s="1405"/>
      <c r="BA174" s="1424" t="e">
        <f>+AZ174/AT174*100</f>
        <v>#DIV/0!</v>
      </c>
      <c r="BB174" s="1405"/>
      <c r="BC174" s="1408" t="e">
        <f>+BB174/AY174*100</f>
        <v>#DIV/0!</v>
      </c>
      <c r="BD174" s="1022">
        <v>0</v>
      </c>
      <c r="BE174" s="1022"/>
      <c r="BF174" s="1022"/>
      <c r="BG174" s="1022">
        <f t="shared" si="95"/>
        <v>0</v>
      </c>
      <c r="BH174" s="1022">
        <v>0</v>
      </c>
      <c r="BI174" s="1022">
        <v>0</v>
      </c>
      <c r="BJ174" s="1022">
        <v>0</v>
      </c>
      <c r="BK174" s="1022">
        <v>0</v>
      </c>
      <c r="BL174" s="1022">
        <v>0</v>
      </c>
      <c r="BM174" s="950">
        <v>0</v>
      </c>
      <c r="BN174" s="950"/>
      <c r="BO174" s="950"/>
      <c r="BP174" s="950"/>
      <c r="BQ174" s="950">
        <f t="shared" si="99"/>
        <v>0</v>
      </c>
      <c r="BR174" s="950">
        <f>+ROUND(BN174*0.02,0)+BN174</f>
        <v>0</v>
      </c>
      <c r="BS174" s="950"/>
      <c r="BT174" s="950"/>
      <c r="BU174" s="950">
        <f t="shared" si="100"/>
        <v>0</v>
      </c>
      <c r="BV174" s="950">
        <f>+ROUND(BR174*0.02,0)+BR174</f>
        <v>0</v>
      </c>
      <c r="BW174" s="950"/>
      <c r="BX174" s="950"/>
      <c r="BY174" s="950">
        <f>SUM(BV174:BX174)</f>
        <v>0</v>
      </c>
      <c r="BZ174" s="953">
        <f>+BG174+BU174+BY174</f>
        <v>0</v>
      </c>
      <c r="CA174" s="1402"/>
      <c r="CB174" s="1435" t="e">
        <f>+CA174/BX174*100</f>
        <v>#DIV/0!</v>
      </c>
      <c r="CC174" s="1437"/>
      <c r="CD174" s="1408"/>
      <c r="CE174" s="542"/>
      <c r="CF174" s="528"/>
      <c r="CG174" s="529"/>
      <c r="CH174" s="64"/>
      <c r="CI174" s="64"/>
      <c r="CJ174" s="64"/>
      <c r="CL174" s="523"/>
      <c r="CX174" s="911">
        <f t="shared" si="82"/>
        <v>0</v>
      </c>
      <c r="CY174" s="1010"/>
      <c r="DA174" s="1068"/>
    </row>
    <row r="175" spans="1:105" s="68" customFormat="1" ht="168.75" x14ac:dyDescent="0.2">
      <c r="A175" s="647" t="s">
        <v>91</v>
      </c>
      <c r="C175" s="525"/>
      <c r="D175" s="525"/>
      <c r="E175" s="539"/>
      <c r="F175" s="525"/>
      <c r="G175" s="525"/>
      <c r="H175" s="525"/>
      <c r="I175" s="525"/>
      <c r="J175" s="1492"/>
      <c r="K175" s="1495"/>
      <c r="L175" s="520"/>
      <c r="M175" s="520"/>
      <c r="N175" s="520"/>
      <c r="O175" s="520"/>
      <c r="P175" s="16" t="s">
        <v>592</v>
      </c>
      <c r="Q175" s="602"/>
      <c r="R175" s="602"/>
      <c r="S175" s="602"/>
      <c r="T175" s="602"/>
      <c r="U175" s="16" t="s">
        <v>842</v>
      </c>
      <c r="V175" s="1155" t="s">
        <v>147</v>
      </c>
      <c r="W175" s="223">
        <v>35</v>
      </c>
      <c r="X175" s="223">
        <v>35</v>
      </c>
      <c r="Y175" s="1302">
        <v>30</v>
      </c>
      <c r="Z175" s="1121" t="s">
        <v>1133</v>
      </c>
      <c r="AA175" s="1302">
        <f>+Y175</f>
        <v>30</v>
      </c>
      <c r="AB175" s="223">
        <v>30</v>
      </c>
      <c r="AC175" s="223">
        <v>9</v>
      </c>
      <c r="AD175" s="223">
        <f>(((AC175/AB175*100)*AM175)/100)</f>
        <v>9</v>
      </c>
      <c r="AE175" s="1121" t="s">
        <v>1312</v>
      </c>
      <c r="AF175" s="223">
        <v>30</v>
      </c>
      <c r="AG175" s="223">
        <v>23</v>
      </c>
      <c r="AH175" s="223">
        <v>12</v>
      </c>
      <c r="AI175" s="425">
        <f>+W175+AB175+AG175+AH175</f>
        <v>100</v>
      </c>
      <c r="AJ175" s="1136">
        <f>+X175+AC175</f>
        <v>44</v>
      </c>
      <c r="AK175" s="541">
        <f>+AJ175/AI175*100</f>
        <v>44</v>
      </c>
      <c r="AL175" s="1342">
        <v>30</v>
      </c>
      <c r="AM175" s="1310">
        <v>30</v>
      </c>
      <c r="AN175" s="560"/>
      <c r="AO175" s="251">
        <v>60000000</v>
      </c>
      <c r="AP175" s="251"/>
      <c r="AQ175" s="251">
        <f t="shared" si="93"/>
        <v>60000000</v>
      </c>
      <c r="AR175" s="1427"/>
      <c r="AS175" s="1427"/>
      <c r="AT175" s="1427"/>
      <c r="AU175" s="1420"/>
      <c r="AV175" s="1420"/>
      <c r="AW175" s="1420"/>
      <c r="AX175" s="1414"/>
      <c r="AY175" s="1408" t="e">
        <f>+AX175/AR175*100</f>
        <v>#DIV/0!</v>
      </c>
      <c r="AZ175" s="1405"/>
      <c r="BA175" s="1424" t="e">
        <f>+AZ175/AT175*100</f>
        <v>#DIV/0!</v>
      </c>
      <c r="BB175" s="1405"/>
      <c r="BC175" s="1408" t="e">
        <f>+BB175/AY175*100</f>
        <v>#DIV/0!</v>
      </c>
      <c r="BD175" s="1022">
        <v>80000000</v>
      </c>
      <c r="BE175" s="1022"/>
      <c r="BF175" s="1022"/>
      <c r="BG175" s="1022">
        <f t="shared" si="95"/>
        <v>80000000</v>
      </c>
      <c r="BH175" s="1022">
        <v>73431957</v>
      </c>
      <c r="BI175" s="1022">
        <f>+BH175/BG175*100</f>
        <v>91.78994625</v>
      </c>
      <c r="BJ175" s="1022">
        <v>8868000</v>
      </c>
      <c r="BK175" s="1022">
        <f>+BJ175/BG175*100</f>
        <v>11.085000000000001</v>
      </c>
      <c r="BL175" s="1022">
        <v>8868000</v>
      </c>
      <c r="BM175" s="950">
        <f>+BL175/BG175*100</f>
        <v>11.085000000000001</v>
      </c>
      <c r="BN175" s="950">
        <v>80000000</v>
      </c>
      <c r="BO175" s="950"/>
      <c r="BP175" s="950"/>
      <c r="BQ175" s="950">
        <f t="shared" si="99"/>
        <v>80000000</v>
      </c>
      <c r="BR175" s="950">
        <v>80000000</v>
      </c>
      <c r="BS175" s="950"/>
      <c r="BT175" s="950"/>
      <c r="BU175" s="950">
        <f t="shared" si="100"/>
        <v>80000000</v>
      </c>
      <c r="BV175" s="950">
        <v>90000000</v>
      </c>
      <c r="BW175" s="950"/>
      <c r="BX175" s="950"/>
      <c r="BY175" s="950">
        <f>SUM(BV175:BX175)</f>
        <v>90000000</v>
      </c>
      <c r="BZ175" s="953">
        <f>BG175+BU175+BY175</f>
        <v>250000000</v>
      </c>
      <c r="CA175" s="1402"/>
      <c r="CB175" s="1435" t="e">
        <f>+CA175/BX175*100</f>
        <v>#DIV/0!</v>
      </c>
      <c r="CC175" s="1437"/>
      <c r="CD175" s="1408"/>
      <c r="CE175" s="542"/>
      <c r="CF175" s="528"/>
      <c r="CG175" s="529"/>
      <c r="CH175" s="64"/>
      <c r="CI175" s="64"/>
      <c r="CJ175" s="64"/>
      <c r="CL175" s="523"/>
      <c r="CX175" s="911">
        <f t="shared" si="82"/>
        <v>0</v>
      </c>
      <c r="CY175" s="1010"/>
      <c r="DA175" s="1068"/>
    </row>
    <row r="176" spans="1:105" s="68" customFormat="1" ht="157.5" x14ac:dyDescent="0.2">
      <c r="A176" s="116"/>
      <c r="C176" s="648"/>
      <c r="D176" s="520"/>
      <c r="E176" s="539"/>
      <c r="F176" s="574"/>
      <c r="G176" s="520"/>
      <c r="H176" s="520"/>
      <c r="I176" s="520"/>
      <c r="J176" s="1492"/>
      <c r="K176" s="1495"/>
      <c r="L176" s="574"/>
      <c r="M176" s="574"/>
      <c r="N176" s="600"/>
      <c r="O176" s="626"/>
      <c r="P176" s="16" t="s">
        <v>593</v>
      </c>
      <c r="Q176" s="223"/>
      <c r="R176" s="223"/>
      <c r="S176" s="223"/>
      <c r="T176" s="425"/>
      <c r="U176" s="16" t="s">
        <v>778</v>
      </c>
      <c r="V176" s="16" t="s">
        <v>710</v>
      </c>
      <c r="W176" s="1148"/>
      <c r="X176" s="1148"/>
      <c r="Y176" s="1302">
        <v>0</v>
      </c>
      <c r="Z176" s="1354"/>
      <c r="AA176" s="1156"/>
      <c r="AB176" s="223">
        <v>50</v>
      </c>
      <c r="AC176" s="223">
        <v>0</v>
      </c>
      <c r="AD176" s="223">
        <f>(((AC176/AB176*100)*AM176)/100)</f>
        <v>0</v>
      </c>
      <c r="AE176" s="1121" t="s">
        <v>1313</v>
      </c>
      <c r="AF176" s="223">
        <v>10</v>
      </c>
      <c r="AG176" s="223">
        <v>50</v>
      </c>
      <c r="AH176" s="649"/>
      <c r="AI176" s="425">
        <f>+W176+AB176+AG176+AH176</f>
        <v>100</v>
      </c>
      <c r="AJ176" s="1156"/>
      <c r="AK176" s="541">
        <f>+AJ176/AI176*100</f>
        <v>0</v>
      </c>
      <c r="AL176" s="1342"/>
      <c r="AM176" s="1342">
        <v>30</v>
      </c>
      <c r="AN176" s="509"/>
      <c r="AO176" s="183"/>
      <c r="AP176" s="183"/>
      <c r="AQ176" s="183">
        <f t="shared" si="93"/>
        <v>0</v>
      </c>
      <c r="AR176" s="1427"/>
      <c r="AS176" s="1427"/>
      <c r="AT176" s="1427"/>
      <c r="AU176" s="1420"/>
      <c r="AV176" s="1420"/>
      <c r="AW176" s="1420"/>
      <c r="AX176" s="1414"/>
      <c r="AY176" s="1408" t="e">
        <f>+AX176/AR176*100</f>
        <v>#DIV/0!</v>
      </c>
      <c r="AZ176" s="1405"/>
      <c r="BA176" s="1424" t="e">
        <f>+AZ176/AT176*100</f>
        <v>#DIV/0!</v>
      </c>
      <c r="BB176" s="1405"/>
      <c r="BC176" s="1408" t="e">
        <f>+BB176/AY176*100</f>
        <v>#DIV/0!</v>
      </c>
      <c r="BD176" s="1031">
        <v>100000000</v>
      </c>
      <c r="BE176" s="1031"/>
      <c r="BF176" s="1031"/>
      <c r="BG176" s="1031">
        <f t="shared" si="95"/>
        <v>100000000</v>
      </c>
      <c r="BH176" s="1031">
        <v>0</v>
      </c>
      <c r="BI176" s="1031">
        <f>+BH176/BG176*100</f>
        <v>0</v>
      </c>
      <c r="BJ176" s="1031">
        <v>0</v>
      </c>
      <c r="BK176" s="1031">
        <f>+BJ176/BG176*100</f>
        <v>0</v>
      </c>
      <c r="BL176" s="1031">
        <v>0</v>
      </c>
      <c r="BM176" s="964">
        <f>+BL176/BG176*100</f>
        <v>0</v>
      </c>
      <c r="BN176" s="964">
        <v>100000000</v>
      </c>
      <c r="BO176" s="964"/>
      <c r="BP176" s="964"/>
      <c r="BQ176" s="964">
        <f t="shared" si="99"/>
        <v>100000000</v>
      </c>
      <c r="BR176" s="964">
        <v>100000000</v>
      </c>
      <c r="BS176" s="964"/>
      <c r="BT176" s="964"/>
      <c r="BU176" s="964">
        <f t="shared" si="100"/>
        <v>100000000</v>
      </c>
      <c r="BV176" s="964"/>
      <c r="BW176" s="964"/>
      <c r="BX176" s="964"/>
      <c r="BY176" s="964">
        <f>SUM(BV176:BX176)</f>
        <v>0</v>
      </c>
      <c r="BZ176" s="967">
        <f>+BG176+BU176+BY176</f>
        <v>200000000</v>
      </c>
      <c r="CA176" s="1402"/>
      <c r="CB176" s="1435" t="e">
        <f>+CA176/BX176*100</f>
        <v>#DIV/0!</v>
      </c>
      <c r="CC176" s="1437"/>
      <c r="CD176" s="1408"/>
      <c r="CE176" s="528"/>
      <c r="CF176" s="528"/>
      <c r="CG176" s="529"/>
      <c r="CH176" s="64"/>
      <c r="CI176" s="64"/>
      <c r="CJ176" s="64"/>
      <c r="CL176" s="522"/>
      <c r="CX176" s="911">
        <f t="shared" si="82"/>
        <v>0</v>
      </c>
      <c r="CY176" s="1010"/>
      <c r="DA176" s="1068"/>
    </row>
    <row r="177" spans="1:107" s="68" customFormat="1" ht="62.25" hidden="1" customHeight="1" x14ac:dyDescent="0.2">
      <c r="A177" s="116"/>
      <c r="C177" s="648"/>
      <c r="D177" s="520"/>
      <c r="E177" s="539"/>
      <c r="F177" s="574"/>
      <c r="G177" s="520"/>
      <c r="H177" s="520"/>
      <c r="I177" s="520"/>
      <c r="J177" s="1493"/>
      <c r="K177" s="1496"/>
      <c r="L177" s="650"/>
      <c r="M177" s="650"/>
      <c r="N177" s="651"/>
      <c r="O177" s="633"/>
      <c r="P177" s="16" t="s">
        <v>748</v>
      </c>
      <c r="Q177" s="223"/>
      <c r="R177" s="223"/>
      <c r="S177" s="223"/>
      <c r="T177" s="425"/>
      <c r="U177" s="16" t="s">
        <v>779</v>
      </c>
      <c r="V177" s="16" t="s">
        <v>147</v>
      </c>
      <c r="W177" s="1093"/>
      <c r="X177" s="1093"/>
      <c r="Y177" s="1089">
        <v>0</v>
      </c>
      <c r="Z177" s="886"/>
      <c r="AA177" s="883"/>
      <c r="AB177" s="183"/>
      <c r="AC177" s="932"/>
      <c r="AD177" s="905"/>
      <c r="AE177" s="932"/>
      <c r="AF177" s="932"/>
      <c r="AG177" s="183"/>
      <c r="AH177" s="425">
        <v>100</v>
      </c>
      <c r="AI177" s="425">
        <f>+W177+AB177+AG177+AH177</f>
        <v>100</v>
      </c>
      <c r="AJ177" s="1099"/>
      <c r="AK177" s="541">
        <f>+AJ177/AI177*100</f>
        <v>0</v>
      </c>
      <c r="AL177" s="892"/>
      <c r="AM177" s="898"/>
      <c r="AN177" s="509"/>
      <c r="AO177" s="183"/>
      <c r="AP177" s="183"/>
      <c r="AQ177" s="183">
        <f t="shared" si="93"/>
        <v>0</v>
      </c>
      <c r="AR177" s="1428"/>
      <c r="AS177" s="1428"/>
      <c r="AT177" s="1428"/>
      <c r="AU177" s="1421"/>
      <c r="AV177" s="1421"/>
      <c r="AW177" s="1421"/>
      <c r="AX177" s="1415"/>
      <c r="AY177" s="1409" t="e">
        <f>+AX177/AR177*100</f>
        <v>#DIV/0!</v>
      </c>
      <c r="AZ177" s="1406"/>
      <c r="BA177" s="1425" t="e">
        <f>+AZ177/AT177*100</f>
        <v>#DIV/0!</v>
      </c>
      <c r="BB177" s="1406"/>
      <c r="BC177" s="1409" t="e">
        <f>+BB177/AY177*100</f>
        <v>#DIV/0!</v>
      </c>
      <c r="BD177" s="1031">
        <v>0</v>
      </c>
      <c r="BE177" s="1031"/>
      <c r="BF177" s="1031"/>
      <c r="BG177" s="1031">
        <f t="shared" si="95"/>
        <v>0</v>
      </c>
      <c r="BH177" s="1031">
        <v>0</v>
      </c>
      <c r="BI177" s="1031">
        <v>0</v>
      </c>
      <c r="BJ177" s="1034">
        <v>0</v>
      </c>
      <c r="BK177" s="1031"/>
      <c r="BL177" s="1034">
        <v>0</v>
      </c>
      <c r="BM177" s="964"/>
      <c r="BN177" s="964"/>
      <c r="BO177" s="964"/>
      <c r="BP177" s="964"/>
      <c r="BQ177" s="964">
        <f t="shared" si="99"/>
        <v>0</v>
      </c>
      <c r="BR177" s="964"/>
      <c r="BS177" s="964"/>
      <c r="BT177" s="964"/>
      <c r="BU177" s="964">
        <f t="shared" si="100"/>
        <v>0</v>
      </c>
      <c r="BV177" s="964">
        <v>50000000</v>
      </c>
      <c r="BW177" s="964"/>
      <c r="BX177" s="964">
        <v>200000000</v>
      </c>
      <c r="BY177" s="964">
        <f t="shared" si="101"/>
        <v>250000000</v>
      </c>
      <c r="BZ177" s="967">
        <f>+BG177+BU177+BY177</f>
        <v>250000000</v>
      </c>
      <c r="CA177" s="1403"/>
      <c r="CB177" s="1438">
        <f>+CA177/BX177*100</f>
        <v>0</v>
      </c>
      <c r="CC177" s="1439"/>
      <c r="CD177" s="1425"/>
      <c r="CE177" s="528"/>
      <c r="CF177" s="528"/>
      <c r="CG177" s="529"/>
      <c r="CH177" s="64"/>
      <c r="CI177" s="64"/>
      <c r="CJ177" s="64"/>
      <c r="CL177" s="518"/>
      <c r="CX177" s="911">
        <f t="shared" si="82"/>
        <v>0</v>
      </c>
      <c r="CY177" s="1010"/>
      <c r="DA177" s="1068"/>
    </row>
    <row r="178" spans="1:107" s="830" customFormat="1" ht="45" x14ac:dyDescent="0.2">
      <c r="A178" s="819" t="s">
        <v>92</v>
      </c>
      <c r="C178" s="848"/>
      <c r="D178" s="848"/>
      <c r="E178" s="848"/>
      <c r="F178" s="848"/>
      <c r="G178" s="848"/>
      <c r="H178" s="848"/>
      <c r="I178" s="848"/>
      <c r="J178" s="1205" t="s">
        <v>856</v>
      </c>
      <c r="K178" s="1205"/>
      <c r="L178" s="1209">
        <v>50</v>
      </c>
      <c r="M178" s="1209">
        <v>50</v>
      </c>
      <c r="N178" s="1209">
        <v>50</v>
      </c>
      <c r="O178" s="1209">
        <v>50</v>
      </c>
      <c r="P178" s="1138"/>
      <c r="Q178" s="1227"/>
      <c r="R178" s="1227"/>
      <c r="S178" s="1227"/>
      <c r="T178" s="1227"/>
      <c r="U178" s="1227"/>
      <c r="V178" s="1228"/>
      <c r="W178" s="1229"/>
      <c r="X178" s="1229"/>
      <c r="Y178" s="1139">
        <f>(((((Y179+Y180+Y181)/3)+Y182)*AL178)/100)</f>
        <v>50</v>
      </c>
      <c r="Z178" s="1298"/>
      <c r="AA178" s="1139">
        <f>((((AA179+AA180+AA181+AA182)/4)*AL178)/100)</f>
        <v>20</v>
      </c>
      <c r="AB178" s="1229"/>
      <c r="AC178" s="1229"/>
      <c r="AD178" s="1139">
        <f>(((((AD179+AD180+AD181*AD182)/4)+AD182)*AM178)/100)</f>
        <v>5.5952380952380967</v>
      </c>
      <c r="AE178" s="1229"/>
      <c r="AF178" s="1139">
        <f>(AF179+AF180+AF181+AF182)/4</f>
        <v>24.9725</v>
      </c>
      <c r="AG178" s="1229"/>
      <c r="AH178" s="1229"/>
      <c r="AI178" s="1229"/>
      <c r="AJ178" s="1139"/>
      <c r="AK178" s="1139">
        <f>((AK179+AK180+AK181+AK182)/4)</f>
        <v>27.994791666666668</v>
      </c>
      <c r="AL178" s="1139">
        <f>+L178</f>
        <v>50</v>
      </c>
      <c r="AM178" s="1139">
        <v>50</v>
      </c>
      <c r="AN178" s="1255"/>
      <c r="AO178" s="821">
        <f>SUM(AO179:AO182)</f>
        <v>80000000</v>
      </c>
      <c r="AP178" s="821">
        <f>SUM(AP179:AP182)</f>
        <v>0</v>
      </c>
      <c r="AQ178" s="821">
        <f t="shared" si="93"/>
        <v>80000000</v>
      </c>
      <c r="AR178" s="822">
        <f>+AR179</f>
        <v>110806059</v>
      </c>
      <c r="AS178" s="822">
        <f>+AS179</f>
        <v>0</v>
      </c>
      <c r="AT178" s="822">
        <f>+AT179</f>
        <v>110806059</v>
      </c>
      <c r="AU178" s="823">
        <f>SUM(AU179:AU182)</f>
        <v>110806059</v>
      </c>
      <c r="AV178" s="823">
        <f>SUM(AV179:AV182)</f>
        <v>0</v>
      </c>
      <c r="AW178" s="823">
        <f>SUM(AU178:AV178)</f>
        <v>110806059</v>
      </c>
      <c r="AX178" s="824">
        <f>+AX179</f>
        <v>92787502</v>
      </c>
      <c r="AY178" s="825">
        <f>+AX178/AW178*100</f>
        <v>83.738653677774067</v>
      </c>
      <c r="AZ178" s="826">
        <f>+AZ179</f>
        <v>63483849</v>
      </c>
      <c r="BA178" s="825">
        <f>+AZ178/AW178*100</f>
        <v>57.292759595393605</v>
      </c>
      <c r="BB178" s="826">
        <f>+BB179</f>
        <v>63483849</v>
      </c>
      <c r="BC178" s="825">
        <f>+BB178/AW178*100</f>
        <v>57.292759595393605</v>
      </c>
      <c r="BD178" s="947">
        <f>SUM(BD179:BD182)</f>
        <v>114089290</v>
      </c>
      <c r="BE178" s="947">
        <f>SUM(BE179:BE182)</f>
        <v>0</v>
      </c>
      <c r="BF178" s="947">
        <f>SUM(BF179:BF182)</f>
        <v>0</v>
      </c>
      <c r="BG178" s="947">
        <f t="shared" si="95"/>
        <v>114089290</v>
      </c>
      <c r="BH178" s="947">
        <f>SUM(BH179:BH182)</f>
        <v>87281800</v>
      </c>
      <c r="BI178" s="947">
        <f>+BH178/BG178*100</f>
        <v>76.50306176854987</v>
      </c>
      <c r="BJ178" s="947">
        <f>SUM(BJ179:BJ182)</f>
        <v>17264025</v>
      </c>
      <c r="BK178" s="947">
        <f>+BJ178/BG178*100</f>
        <v>15.132029483223183</v>
      </c>
      <c r="BL178" s="947">
        <f>SUM(BL179:BL182)</f>
        <v>17264025</v>
      </c>
      <c r="BM178" s="947">
        <f>+BL178/BG178*100</f>
        <v>15.132029483223183</v>
      </c>
      <c r="BN178" s="947">
        <f>SUM(BN179:BN182)</f>
        <v>128200000</v>
      </c>
      <c r="BO178" s="947">
        <f>SUM(BO179:BO182)</f>
        <v>0</v>
      </c>
      <c r="BP178" s="947">
        <f>SUM(BP179:BP182)</f>
        <v>0</v>
      </c>
      <c r="BQ178" s="947">
        <f t="shared" si="99"/>
        <v>128200000</v>
      </c>
      <c r="BR178" s="947">
        <f>SUM(BR179:BR182)</f>
        <v>132000000</v>
      </c>
      <c r="BS178" s="947">
        <f>SUM(BS179:BS182)</f>
        <v>0</v>
      </c>
      <c r="BT178" s="947">
        <f>SUM(BT179:BT182)</f>
        <v>0</v>
      </c>
      <c r="BU178" s="947">
        <f t="shared" si="100"/>
        <v>132000000</v>
      </c>
      <c r="BV178" s="947">
        <f>SUM(BV179:BV182)</f>
        <v>136000000</v>
      </c>
      <c r="BW178" s="947">
        <f>SUM(BW179:BW182)</f>
        <v>0</v>
      </c>
      <c r="BX178" s="947">
        <f>SUM(BX179:BX182)</f>
        <v>0</v>
      </c>
      <c r="BY178" s="947">
        <f t="shared" si="101"/>
        <v>136000000</v>
      </c>
      <c r="BZ178" s="948">
        <f>+BZ179</f>
        <v>492895349</v>
      </c>
      <c r="CA178" s="948">
        <f>+CA179</f>
        <v>180069302</v>
      </c>
      <c r="CB178" s="949">
        <f>+CA178/BZ178*100</f>
        <v>36.532968380677502</v>
      </c>
      <c r="CC178" s="827"/>
      <c r="CD178" s="825"/>
      <c r="CE178" s="828"/>
      <c r="CF178" s="834">
        <f>SUM(BZ179:BZ182)</f>
        <v>492895349</v>
      </c>
      <c r="CG178" s="829">
        <v>30806059</v>
      </c>
      <c r="CH178" s="815"/>
      <c r="CI178" s="815"/>
      <c r="CJ178" s="846"/>
      <c r="CL178" s="821"/>
      <c r="CX178" s="911">
        <f t="shared" si="82"/>
        <v>-14110710</v>
      </c>
      <c r="CY178" s="1009"/>
      <c r="DA178" s="1067"/>
    </row>
    <row r="179" spans="1:107" s="68" customFormat="1" ht="101.25" x14ac:dyDescent="0.2">
      <c r="A179" s="1449" t="s">
        <v>93</v>
      </c>
      <c r="C179" s="525"/>
      <c r="D179" s="525"/>
      <c r="E179" s="539"/>
      <c r="F179" s="525"/>
      <c r="G179" s="525"/>
      <c r="H179" s="525"/>
      <c r="I179" s="525"/>
      <c r="J179" s="1475"/>
      <c r="K179" s="1450" t="s">
        <v>539</v>
      </c>
      <c r="L179" s="519"/>
      <c r="M179" s="519"/>
      <c r="N179" s="519"/>
      <c r="O179" s="519"/>
      <c r="P179" s="1449" t="s">
        <v>466</v>
      </c>
      <c r="Q179" s="1442">
        <v>60</v>
      </c>
      <c r="R179" s="1442">
        <v>60</v>
      </c>
      <c r="S179" s="1442">
        <v>60</v>
      </c>
      <c r="T179" s="1442">
        <v>60</v>
      </c>
      <c r="U179" s="16" t="s">
        <v>537</v>
      </c>
      <c r="V179" s="737" t="s">
        <v>137</v>
      </c>
      <c r="W179" s="226">
        <v>28</v>
      </c>
      <c r="X179" s="226">
        <v>28</v>
      </c>
      <c r="Y179" s="1302">
        <v>60</v>
      </c>
      <c r="Z179" s="1355" t="s">
        <v>1101</v>
      </c>
      <c r="AA179" s="1312">
        <v>0</v>
      </c>
      <c r="AB179" s="226">
        <v>28</v>
      </c>
      <c r="AC179" s="226">
        <v>10</v>
      </c>
      <c r="AD179" s="223">
        <f>(((AC179/AB179*100)*AM179)/100)</f>
        <v>21.428571428571431</v>
      </c>
      <c r="AE179" s="1121" t="s">
        <v>1227</v>
      </c>
      <c r="AF179" s="226">
        <v>36</v>
      </c>
      <c r="AG179" s="226">
        <v>28</v>
      </c>
      <c r="AH179" s="226">
        <v>28</v>
      </c>
      <c r="AI179" s="425">
        <v>28</v>
      </c>
      <c r="AJ179" s="1136">
        <f>+X179</f>
        <v>28</v>
      </c>
      <c r="AK179" s="541">
        <v>25</v>
      </c>
      <c r="AL179" s="1410">
        <v>60</v>
      </c>
      <c r="AM179" s="1445">
        <v>60</v>
      </c>
      <c r="AN179" s="560"/>
      <c r="AO179" s="1422">
        <v>80000000</v>
      </c>
      <c r="AP179" s="1422"/>
      <c r="AQ179" s="1422">
        <f t="shared" si="93"/>
        <v>80000000</v>
      </c>
      <c r="AR179" s="1426">
        <v>110806059</v>
      </c>
      <c r="AS179" s="1426"/>
      <c r="AT179" s="1426">
        <f>+AS179+AR179</f>
        <v>110806059</v>
      </c>
      <c r="AU179" s="1419">
        <v>110806059</v>
      </c>
      <c r="AV179" s="1419"/>
      <c r="AW179" s="1419">
        <f>SUM(AU179:AV179)</f>
        <v>110806059</v>
      </c>
      <c r="AX179" s="1413">
        <v>92787502</v>
      </c>
      <c r="AY179" s="1407">
        <f>+AX179/AW179*100</f>
        <v>83.738653677774067</v>
      </c>
      <c r="AZ179" s="1404">
        <v>63483849</v>
      </c>
      <c r="BA179" s="1407">
        <f>+AZ179/AW179*100</f>
        <v>57.292759595393605</v>
      </c>
      <c r="BB179" s="1404">
        <v>63483849</v>
      </c>
      <c r="BC179" s="1407">
        <f>+BB179/AW179*100</f>
        <v>57.292759595393605</v>
      </c>
      <c r="BD179" s="1388">
        <v>114089290</v>
      </c>
      <c r="BE179" s="1388"/>
      <c r="BF179" s="1388"/>
      <c r="BG179" s="1388">
        <f t="shared" si="95"/>
        <v>114089290</v>
      </c>
      <c r="BH179" s="1388">
        <v>87281800</v>
      </c>
      <c r="BI179" s="1388">
        <f>+BH179/BG179*100</f>
        <v>76.50306176854987</v>
      </c>
      <c r="BJ179" s="1388">
        <v>17264025</v>
      </c>
      <c r="BK179" s="1388">
        <f>+BJ179/BG179*100</f>
        <v>15.132029483223183</v>
      </c>
      <c r="BL179" s="1388">
        <v>17264025</v>
      </c>
      <c r="BM179" s="1388">
        <f>+BL179/BG179*100</f>
        <v>15.132029483223183</v>
      </c>
      <c r="BN179" s="1388">
        <v>128200000</v>
      </c>
      <c r="BO179" s="1388"/>
      <c r="BP179" s="1388"/>
      <c r="BQ179" s="1388">
        <f t="shared" si="99"/>
        <v>128200000</v>
      </c>
      <c r="BR179" s="1388">
        <v>132000000</v>
      </c>
      <c r="BS179" s="1388"/>
      <c r="BT179" s="1388"/>
      <c r="BU179" s="1388">
        <f t="shared" si="100"/>
        <v>132000000</v>
      </c>
      <c r="BV179" s="1388">
        <v>136000000</v>
      </c>
      <c r="BW179" s="1388"/>
      <c r="BX179" s="1388"/>
      <c r="BY179" s="1388">
        <f t="shared" si="101"/>
        <v>136000000</v>
      </c>
      <c r="BZ179" s="1432">
        <f>+AW179+BG179+BU179+BY179</f>
        <v>492895349</v>
      </c>
      <c r="CA179" s="1401">
        <f>+BH179+AX179</f>
        <v>180069302</v>
      </c>
      <c r="CB179" s="1434">
        <f>+CA179/BZ179*100</f>
        <v>36.532968380677502</v>
      </c>
      <c r="CC179" s="1436" t="s">
        <v>906</v>
      </c>
      <c r="CD179" s="1740" t="s">
        <v>1181</v>
      </c>
      <c r="CE179" s="542"/>
      <c r="CF179" s="528"/>
      <c r="CG179" s="529"/>
      <c r="CH179" s="64"/>
      <c r="CI179" s="64"/>
      <c r="CJ179" s="64"/>
      <c r="CL179" s="251"/>
      <c r="CX179" s="911">
        <f t="shared" si="82"/>
        <v>-14110710</v>
      </c>
      <c r="CY179" s="1054"/>
      <c r="CZ179" s="1053"/>
      <c r="DA179" s="1104" t="s">
        <v>1228</v>
      </c>
    </row>
    <row r="180" spans="1:107" s="68" customFormat="1" ht="157.5" x14ac:dyDescent="0.2">
      <c r="A180" s="1450"/>
      <c r="C180" s="525"/>
      <c r="D180" s="525"/>
      <c r="E180" s="539"/>
      <c r="F180" s="525"/>
      <c r="G180" s="525"/>
      <c r="H180" s="525"/>
      <c r="I180" s="525"/>
      <c r="J180" s="1475"/>
      <c r="K180" s="1450"/>
      <c r="L180" s="520"/>
      <c r="M180" s="520"/>
      <c r="N180" s="520"/>
      <c r="O180" s="520"/>
      <c r="P180" s="1450"/>
      <c r="Q180" s="1443"/>
      <c r="R180" s="1443"/>
      <c r="S180" s="1443"/>
      <c r="T180" s="1443"/>
      <c r="U180" s="16" t="s">
        <v>380</v>
      </c>
      <c r="V180" s="737" t="s">
        <v>137</v>
      </c>
      <c r="W180" s="226">
        <v>144</v>
      </c>
      <c r="X180" s="226">
        <f>76+81</f>
        <v>157</v>
      </c>
      <c r="Y180" s="1302">
        <v>60</v>
      </c>
      <c r="Z180" s="1355" t="s">
        <v>1102</v>
      </c>
      <c r="AA180" s="1312">
        <f>+Y180</f>
        <v>60</v>
      </c>
      <c r="AB180" s="226">
        <v>144</v>
      </c>
      <c r="AC180" s="226">
        <v>56</v>
      </c>
      <c r="AD180" s="1136">
        <f>(((AC180/AB180*100)*60)/100)</f>
        <v>23.333333333333336</v>
      </c>
      <c r="AE180" s="1121" t="s">
        <v>1229</v>
      </c>
      <c r="AF180" s="226">
        <v>38.89</v>
      </c>
      <c r="AG180" s="226">
        <v>144</v>
      </c>
      <c r="AH180" s="226">
        <v>144</v>
      </c>
      <c r="AI180" s="425">
        <f>+W180+AB180+AG180+AH180</f>
        <v>576</v>
      </c>
      <c r="AJ180" s="1136">
        <f>+X180+AC180</f>
        <v>213</v>
      </c>
      <c r="AK180" s="541">
        <f>+AJ180/AI180*100</f>
        <v>36.979166666666671</v>
      </c>
      <c r="AL180" s="1411"/>
      <c r="AM180" s="1445"/>
      <c r="AN180" s="537"/>
      <c r="AO180" s="1476"/>
      <c r="AP180" s="1476"/>
      <c r="AQ180" s="1476"/>
      <c r="AR180" s="1427"/>
      <c r="AS180" s="1427"/>
      <c r="AT180" s="1427"/>
      <c r="AU180" s="1420"/>
      <c r="AV180" s="1420"/>
      <c r="AW180" s="1420"/>
      <c r="AX180" s="1414"/>
      <c r="AY180" s="1408" t="e">
        <f>+AX180/AR180*100</f>
        <v>#DIV/0!</v>
      </c>
      <c r="AZ180" s="1405"/>
      <c r="BA180" s="1424" t="e">
        <f>+AZ180/AT180*100</f>
        <v>#DIV/0!</v>
      </c>
      <c r="BB180" s="1405"/>
      <c r="BC180" s="1408" t="e">
        <f>+BB180/AY180*100</f>
        <v>#DIV/0!</v>
      </c>
      <c r="BD180" s="1389"/>
      <c r="BE180" s="1389"/>
      <c r="BF180" s="1389"/>
      <c r="BG180" s="1389"/>
      <c r="BH180" s="1389"/>
      <c r="BI180" s="1389"/>
      <c r="BJ180" s="1389"/>
      <c r="BK180" s="1389"/>
      <c r="BL180" s="1389"/>
      <c r="BM180" s="1389"/>
      <c r="BN180" s="1389"/>
      <c r="BO180" s="1389"/>
      <c r="BP180" s="1389"/>
      <c r="BQ180" s="1389"/>
      <c r="BR180" s="1389"/>
      <c r="BS180" s="1389"/>
      <c r="BT180" s="1389"/>
      <c r="BU180" s="1389"/>
      <c r="BV180" s="1389"/>
      <c r="BW180" s="1389"/>
      <c r="BX180" s="1389"/>
      <c r="BY180" s="1389"/>
      <c r="BZ180" s="1433"/>
      <c r="CA180" s="1402"/>
      <c r="CB180" s="1435" t="e">
        <f>+CA180/BX180*100</f>
        <v>#DIV/0!</v>
      </c>
      <c r="CC180" s="1437"/>
      <c r="CD180" s="1741"/>
      <c r="CE180" s="542"/>
      <c r="CF180" s="528"/>
      <c r="CG180" s="529"/>
      <c r="CH180" s="64"/>
      <c r="CI180" s="64"/>
      <c r="CJ180" s="64"/>
      <c r="CL180" s="523"/>
      <c r="CX180" s="911">
        <f t="shared" si="82"/>
        <v>0</v>
      </c>
      <c r="CY180" s="1012"/>
      <c r="DA180" s="1109"/>
    </row>
    <row r="181" spans="1:107" s="68" customFormat="1" ht="123.75" x14ac:dyDescent="0.2">
      <c r="A181" s="1450"/>
      <c r="C181" s="525"/>
      <c r="D181" s="525"/>
      <c r="E181" s="539"/>
      <c r="F181" s="525"/>
      <c r="G181" s="525"/>
      <c r="H181" s="525"/>
      <c r="I181" s="525"/>
      <c r="J181" s="1475"/>
      <c r="K181" s="1450"/>
      <c r="L181" s="520"/>
      <c r="M181" s="520"/>
      <c r="N181" s="520"/>
      <c r="O181" s="520"/>
      <c r="P181" s="1451"/>
      <c r="Q181" s="1444"/>
      <c r="R181" s="1444"/>
      <c r="S181" s="1444"/>
      <c r="T181" s="1444"/>
      <c r="U181" s="16" t="s">
        <v>749</v>
      </c>
      <c r="V181" s="737" t="s">
        <v>137</v>
      </c>
      <c r="W181" s="226">
        <v>1</v>
      </c>
      <c r="X181" s="226">
        <v>1</v>
      </c>
      <c r="Y181" s="1302">
        <v>60</v>
      </c>
      <c r="Z181" s="1356" t="s">
        <v>1103</v>
      </c>
      <c r="AA181" s="1312">
        <f>+Y181</f>
        <v>60</v>
      </c>
      <c r="AB181" s="226">
        <v>1</v>
      </c>
      <c r="AC181" s="226">
        <v>0.25</v>
      </c>
      <c r="AD181" s="223">
        <f>(((AC181/AB181*100)*AM181)/100)</f>
        <v>0</v>
      </c>
      <c r="AE181" s="1121" t="s">
        <v>1230</v>
      </c>
      <c r="AF181" s="226">
        <v>25</v>
      </c>
      <c r="AG181" s="226">
        <v>1</v>
      </c>
      <c r="AH181" s="226">
        <v>1</v>
      </c>
      <c r="AI181" s="425">
        <v>1</v>
      </c>
      <c r="AJ181" s="1136">
        <f>+X181+AC181</f>
        <v>1.25</v>
      </c>
      <c r="AK181" s="541">
        <v>25</v>
      </c>
      <c r="AL181" s="1412"/>
      <c r="AM181" s="1445"/>
      <c r="AN181" s="537"/>
      <c r="AO181" s="1476"/>
      <c r="AP181" s="1476"/>
      <c r="AQ181" s="1476"/>
      <c r="AR181" s="1427"/>
      <c r="AS181" s="1427"/>
      <c r="AT181" s="1427"/>
      <c r="AU181" s="1420"/>
      <c r="AV181" s="1420"/>
      <c r="AW181" s="1420"/>
      <c r="AX181" s="1414"/>
      <c r="AY181" s="1408" t="e">
        <f>+AX181/AR181*100</f>
        <v>#DIV/0!</v>
      </c>
      <c r="AZ181" s="1405"/>
      <c r="BA181" s="1424" t="e">
        <f>+AZ181/AT181*100</f>
        <v>#DIV/0!</v>
      </c>
      <c r="BB181" s="1405"/>
      <c r="BC181" s="1408" t="e">
        <f>+BB181/AY181*100</f>
        <v>#DIV/0!</v>
      </c>
      <c r="BD181" s="1389"/>
      <c r="BE181" s="1389"/>
      <c r="BF181" s="1389"/>
      <c r="BG181" s="1389"/>
      <c r="BH181" s="1389"/>
      <c r="BI181" s="1389"/>
      <c r="BJ181" s="1389"/>
      <c r="BK181" s="1389"/>
      <c r="BL181" s="1389"/>
      <c r="BM181" s="1389"/>
      <c r="BN181" s="1389"/>
      <c r="BO181" s="1389"/>
      <c r="BP181" s="1389"/>
      <c r="BQ181" s="1389"/>
      <c r="BR181" s="1389"/>
      <c r="BS181" s="1389"/>
      <c r="BT181" s="1389"/>
      <c r="BU181" s="1389"/>
      <c r="BV181" s="1389"/>
      <c r="BW181" s="1389"/>
      <c r="BX181" s="1389"/>
      <c r="BY181" s="1389"/>
      <c r="BZ181" s="1433"/>
      <c r="CA181" s="1402"/>
      <c r="CB181" s="1435" t="e">
        <f>+CA181/BX181*100</f>
        <v>#DIV/0!</v>
      </c>
      <c r="CC181" s="1437"/>
      <c r="CD181" s="1741"/>
      <c r="CE181" s="542"/>
      <c r="CF181" s="528"/>
      <c r="CG181" s="529"/>
      <c r="CH181" s="64"/>
      <c r="CI181" s="64"/>
      <c r="CJ181" s="64"/>
      <c r="CL181" s="523"/>
      <c r="CX181" s="911">
        <f t="shared" si="82"/>
        <v>0</v>
      </c>
      <c r="CY181" s="1012"/>
      <c r="DA181" s="1104" t="s">
        <v>1231</v>
      </c>
      <c r="DC181" s="1108"/>
    </row>
    <row r="182" spans="1:107" s="68" customFormat="1" ht="90" x14ac:dyDescent="0.2">
      <c r="A182" s="1451"/>
      <c r="C182" s="525"/>
      <c r="D182" s="525"/>
      <c r="E182" s="539"/>
      <c r="F182" s="525"/>
      <c r="G182" s="525"/>
      <c r="H182" s="525"/>
      <c r="I182" s="525"/>
      <c r="J182" s="1475"/>
      <c r="K182" s="1450"/>
      <c r="L182" s="520"/>
      <c r="M182" s="520"/>
      <c r="N182" s="520"/>
      <c r="O182" s="520"/>
      <c r="P182" s="16" t="s">
        <v>377</v>
      </c>
      <c r="Q182" s="568">
        <v>40</v>
      </c>
      <c r="R182" s="568">
        <v>40</v>
      </c>
      <c r="S182" s="568">
        <v>40</v>
      </c>
      <c r="T182" s="568">
        <v>40</v>
      </c>
      <c r="U182" s="16" t="s">
        <v>378</v>
      </c>
      <c r="V182" s="737" t="s">
        <v>137</v>
      </c>
      <c r="W182" s="226">
        <v>12</v>
      </c>
      <c r="X182" s="226">
        <v>12</v>
      </c>
      <c r="Y182" s="1302">
        <v>40</v>
      </c>
      <c r="Z182" s="1121" t="s">
        <v>1104</v>
      </c>
      <c r="AA182" s="1312">
        <f>+Y182</f>
        <v>40</v>
      </c>
      <c r="AB182" s="226">
        <v>12</v>
      </c>
      <c r="AC182" s="226">
        <v>0</v>
      </c>
      <c r="AD182" s="223">
        <f>(((AC182/AB182*100)*AM182)/100)</f>
        <v>0</v>
      </c>
      <c r="AE182" s="1121" t="s">
        <v>1232</v>
      </c>
      <c r="AF182" s="226">
        <v>0</v>
      </c>
      <c r="AG182" s="226">
        <v>12</v>
      </c>
      <c r="AH182" s="226">
        <v>12</v>
      </c>
      <c r="AI182" s="425">
        <v>12</v>
      </c>
      <c r="AJ182" s="1136">
        <f>+X182+AC182</f>
        <v>12</v>
      </c>
      <c r="AK182" s="541">
        <v>25</v>
      </c>
      <c r="AL182" s="1342">
        <v>40</v>
      </c>
      <c r="AM182" s="1342">
        <v>40</v>
      </c>
      <c r="AN182" s="537"/>
      <c r="AO182" s="1476"/>
      <c r="AP182" s="1476"/>
      <c r="AQ182" s="1476">
        <f>SUM(AO182:AP182)</f>
        <v>0</v>
      </c>
      <c r="AR182" s="1427"/>
      <c r="AS182" s="1427"/>
      <c r="AT182" s="1427"/>
      <c r="AU182" s="1420"/>
      <c r="AV182" s="1420"/>
      <c r="AW182" s="1420">
        <f>SUM(AU182:AV182)</f>
        <v>0</v>
      </c>
      <c r="AX182" s="1414"/>
      <c r="AY182" s="1408" t="e">
        <f>+AX182/AR182*100</f>
        <v>#DIV/0!</v>
      </c>
      <c r="AZ182" s="1405"/>
      <c r="BA182" s="1424" t="e">
        <f>+AZ182/AT182*100</f>
        <v>#DIV/0!</v>
      </c>
      <c r="BB182" s="1405"/>
      <c r="BC182" s="1408" t="e">
        <f>+BB182/AY182*100</f>
        <v>#DIV/0!</v>
      </c>
      <c r="BD182" s="1389"/>
      <c r="BE182" s="1389"/>
      <c r="BF182" s="1389"/>
      <c r="BG182" s="1389">
        <f>SUM(BD182:BF182)</f>
        <v>0</v>
      </c>
      <c r="BH182" s="1389"/>
      <c r="BI182" s="1389"/>
      <c r="BJ182" s="1389"/>
      <c r="BK182" s="1389"/>
      <c r="BL182" s="1389"/>
      <c r="BM182" s="1389"/>
      <c r="BN182" s="1389"/>
      <c r="BO182" s="1389"/>
      <c r="BP182" s="1389"/>
      <c r="BQ182" s="1389">
        <f>SUM(BN182:BP182)</f>
        <v>0</v>
      </c>
      <c r="BR182" s="1389"/>
      <c r="BS182" s="1389"/>
      <c r="BT182" s="1389"/>
      <c r="BU182" s="1389">
        <f>SUM(BR182:BT182)</f>
        <v>0</v>
      </c>
      <c r="BV182" s="1389"/>
      <c r="BW182" s="1389"/>
      <c r="BX182" s="1389"/>
      <c r="BY182" s="1389">
        <f>SUM(BV182:BX182)</f>
        <v>0</v>
      </c>
      <c r="BZ182" s="1433"/>
      <c r="CA182" s="1402"/>
      <c r="CB182" s="1435" t="e">
        <f>+CA182/BX182*100</f>
        <v>#DIV/0!</v>
      </c>
      <c r="CC182" s="1437"/>
      <c r="CD182" s="1741"/>
      <c r="CE182" s="542"/>
      <c r="CF182" s="528"/>
      <c r="CG182" s="529"/>
      <c r="CH182" s="64"/>
      <c r="CI182" s="64"/>
      <c r="CJ182" s="64"/>
      <c r="CL182" s="523"/>
      <c r="CX182" s="911">
        <f t="shared" si="82"/>
        <v>0</v>
      </c>
      <c r="CY182" s="1010"/>
      <c r="DA182" s="1109"/>
    </row>
    <row r="183" spans="1:107" s="1" customFormat="1" ht="121.9" customHeight="1" x14ac:dyDescent="0.2">
      <c r="A183" s="315"/>
      <c r="C183" s="289" t="s">
        <v>665</v>
      </c>
      <c r="D183" s="290" t="s">
        <v>671</v>
      </c>
      <c r="E183" s="303" t="s">
        <v>857</v>
      </c>
      <c r="F183" s="309">
        <v>15</v>
      </c>
      <c r="G183" s="309">
        <v>15</v>
      </c>
      <c r="H183" s="309">
        <v>15</v>
      </c>
      <c r="I183" s="309">
        <v>15</v>
      </c>
      <c r="J183" s="1182"/>
      <c r="K183" s="1170"/>
      <c r="L183" s="1161"/>
      <c r="M183" s="1161"/>
      <c r="N183" s="1161"/>
      <c r="O183" s="1161"/>
      <c r="P183" s="1188"/>
      <c r="Q183" s="1162"/>
      <c r="R183" s="1162"/>
      <c r="S183" s="1162"/>
      <c r="T183" s="1162"/>
      <c r="U183" s="1189"/>
      <c r="V183" s="1190"/>
      <c r="W183" s="1191"/>
      <c r="X183" s="1191"/>
      <c r="Y183" s="1193">
        <f>(((Y184)*AL183)/100)</f>
        <v>15</v>
      </c>
      <c r="Z183" s="1192"/>
      <c r="AA183" s="1193">
        <f>(((AA184)*AL183)/100)</f>
        <v>5.25</v>
      </c>
      <c r="AB183" s="1164"/>
      <c r="AC183" s="1193"/>
      <c r="AD183" s="1193">
        <f>(((AD184)*AM183)/100)</f>
        <v>2.7287399999999997</v>
      </c>
      <c r="AE183" s="1164"/>
      <c r="AF183" s="1193">
        <f>+AF184</f>
        <v>69.2</v>
      </c>
      <c r="AG183" s="1164"/>
      <c r="AH183" s="1164"/>
      <c r="AI183" s="1191"/>
      <c r="AJ183" s="1195"/>
      <c r="AK183" s="1193">
        <f>((AK184)/1)</f>
        <v>25</v>
      </c>
      <c r="AL183" s="1193">
        <f>+F183</f>
        <v>15</v>
      </c>
      <c r="AM183" s="1195">
        <v>15</v>
      </c>
      <c r="AN183" s="1196"/>
      <c r="AO183" s="325">
        <f>+AO184</f>
        <v>516000000</v>
      </c>
      <c r="AP183" s="325">
        <f>+AP184</f>
        <v>0</v>
      </c>
      <c r="AQ183" s="325">
        <f>SUM(AO183:AP183)</f>
        <v>516000000</v>
      </c>
      <c r="AR183" s="415">
        <f>+AR184</f>
        <v>666000000</v>
      </c>
      <c r="AS183" s="415">
        <f>+AS184</f>
        <v>0</v>
      </c>
      <c r="AT183" s="415">
        <f>+AT184</f>
        <v>666000000</v>
      </c>
      <c r="AU183" s="712">
        <f>+AU184</f>
        <v>966000000</v>
      </c>
      <c r="AV183" s="712">
        <f>+AV184</f>
        <v>0</v>
      </c>
      <c r="AW183" s="712">
        <f>SUM(AU183:AV183)</f>
        <v>966000000</v>
      </c>
      <c r="AX183" s="779">
        <f>+AX184</f>
        <v>870580220</v>
      </c>
      <c r="AY183" s="687">
        <f>+AX183/AW183*100</f>
        <v>90.122175983436861</v>
      </c>
      <c r="AZ183" s="688">
        <f>+AZ184</f>
        <v>599777739</v>
      </c>
      <c r="BA183" s="687">
        <f>+AZ183/AW183*100</f>
        <v>62.088792857142863</v>
      </c>
      <c r="BB183" s="688">
        <f>+BB184</f>
        <v>537004739</v>
      </c>
      <c r="BC183" s="687">
        <f>+BB183/AW183*100</f>
        <v>55.590552691511384</v>
      </c>
      <c r="BD183" s="944">
        <f>+BD184</f>
        <v>532320000</v>
      </c>
      <c r="BE183" s="944">
        <f>+BE184</f>
        <v>0</v>
      </c>
      <c r="BF183" s="944">
        <f>+BF184</f>
        <v>0</v>
      </c>
      <c r="BG183" s="944">
        <f>SUM(BD183:BF183)</f>
        <v>532320000</v>
      </c>
      <c r="BH183" s="944">
        <f>+BH184</f>
        <v>399376510</v>
      </c>
      <c r="BI183" s="944">
        <f>+BH183/BG183*100</f>
        <v>75.025644349263601</v>
      </c>
      <c r="BJ183" s="944">
        <f>+BJ184</f>
        <v>72029272</v>
      </c>
      <c r="BK183" s="944">
        <f>+BJ183/BG183*100</f>
        <v>13.53119777577397</v>
      </c>
      <c r="BL183" s="944">
        <f>+BL184</f>
        <v>72029272</v>
      </c>
      <c r="BM183" s="944">
        <f>+BL183/BG183*100</f>
        <v>13.53119777577397</v>
      </c>
      <c r="BN183" s="988">
        <f>+BN184</f>
        <v>527000000</v>
      </c>
      <c r="BO183" s="988">
        <f>+BO184</f>
        <v>0</v>
      </c>
      <c r="BP183" s="988">
        <f>+BP184</f>
        <v>0</v>
      </c>
      <c r="BQ183" s="988">
        <f>SUM(BN183:BP183)</f>
        <v>527000000</v>
      </c>
      <c r="BR183" s="988">
        <f>+BR184</f>
        <v>543000000</v>
      </c>
      <c r="BS183" s="988">
        <f>+BS184</f>
        <v>0</v>
      </c>
      <c r="BT183" s="988">
        <f>+BT184</f>
        <v>0</v>
      </c>
      <c r="BU183" s="944">
        <f>SUM(BR183:BT183)</f>
        <v>543000000</v>
      </c>
      <c r="BV183" s="944">
        <f>+BV184</f>
        <v>553000000</v>
      </c>
      <c r="BW183" s="944">
        <f>+BW184</f>
        <v>0</v>
      </c>
      <c r="BX183" s="944">
        <f>+BX184</f>
        <v>0</v>
      </c>
      <c r="BY183" s="944">
        <f>SUM(BV183:BX183)</f>
        <v>553000000</v>
      </c>
      <c r="BZ183" s="965">
        <f>+BZ184</f>
        <v>2594320000</v>
      </c>
      <c r="CA183" s="965">
        <f>+CA184</f>
        <v>1269956730</v>
      </c>
      <c r="CB183" s="946">
        <f>+CA183/BZ183*100</f>
        <v>48.951429661722536</v>
      </c>
      <c r="CC183" s="698"/>
      <c r="CD183" s="661"/>
      <c r="CE183" s="334" t="e">
        <f>+BZ183/#REF!*100</f>
        <v>#REF!</v>
      </c>
      <c r="CF183" s="198"/>
      <c r="CG183" s="238"/>
      <c r="CH183" s="7"/>
      <c r="CI183" s="7"/>
      <c r="CJ183" s="7"/>
      <c r="CL183" s="660"/>
      <c r="CX183" s="911">
        <f t="shared" si="82"/>
        <v>5320000</v>
      </c>
      <c r="CY183" s="1008"/>
      <c r="DA183" s="1066"/>
    </row>
    <row r="184" spans="1:107" s="830" customFormat="1" ht="74.45" customHeight="1" x14ac:dyDescent="0.2">
      <c r="A184" s="819" t="s">
        <v>95</v>
      </c>
      <c r="C184" s="817"/>
      <c r="D184" s="817"/>
      <c r="E184" s="816"/>
      <c r="F184" s="817"/>
      <c r="G184" s="817"/>
      <c r="H184" s="817"/>
      <c r="I184" s="817"/>
      <c r="J184" s="1138" t="s">
        <v>858</v>
      </c>
      <c r="K184" s="1205"/>
      <c r="L184" s="1209">
        <v>100</v>
      </c>
      <c r="M184" s="1209">
        <v>100</v>
      </c>
      <c r="N184" s="1209">
        <v>100</v>
      </c>
      <c r="O184" s="1209">
        <v>100</v>
      </c>
      <c r="P184" s="1138"/>
      <c r="Q184" s="1227"/>
      <c r="R184" s="1227"/>
      <c r="S184" s="1227"/>
      <c r="T184" s="1227"/>
      <c r="U184" s="1227"/>
      <c r="V184" s="1228"/>
      <c r="W184" s="1229"/>
      <c r="X184" s="1229"/>
      <c r="Y184" s="1139">
        <f>(((+Y185+Y189+Y190+Y191+Y192)*AL184)/100)</f>
        <v>100</v>
      </c>
      <c r="Z184" s="1139"/>
      <c r="AA184" s="1139">
        <f>(((AA185)*AL184)/100)</f>
        <v>35</v>
      </c>
      <c r="AB184" s="1139"/>
      <c r="AC184" s="1139"/>
      <c r="AD184" s="1139">
        <f>(((+AD185+AD189+AD190+AD191+AD192)*AM184)/100)</f>
        <v>18.191599999999998</v>
      </c>
      <c r="AE184" s="1139"/>
      <c r="AF184" s="1139">
        <f>+AF185</f>
        <v>69.2</v>
      </c>
      <c r="AG184" s="1139"/>
      <c r="AH184" s="1139"/>
      <c r="AI184" s="1139"/>
      <c r="AJ184" s="1139"/>
      <c r="AK184" s="1139">
        <f>((AK185)/1)</f>
        <v>25</v>
      </c>
      <c r="AL184" s="1139">
        <f>+L184</f>
        <v>100</v>
      </c>
      <c r="AM184" s="1139">
        <v>100</v>
      </c>
      <c r="AN184" s="1255"/>
      <c r="AO184" s="821">
        <f>SUM(AO185:AO192)</f>
        <v>516000000</v>
      </c>
      <c r="AP184" s="821">
        <f>SUM(AP185:AP192)</f>
        <v>0</v>
      </c>
      <c r="AQ184" s="821">
        <f>SUM(AO184:AP184)</f>
        <v>516000000</v>
      </c>
      <c r="AR184" s="822">
        <f>SUM(AR185:AR192)</f>
        <v>666000000</v>
      </c>
      <c r="AS184" s="822">
        <f>SUM(AS185:AS192)</f>
        <v>0</v>
      </c>
      <c r="AT184" s="822">
        <f>SUM(AT185:AT192)</f>
        <v>666000000</v>
      </c>
      <c r="AU184" s="823">
        <f>SUM(AU185:AU192)</f>
        <v>966000000</v>
      </c>
      <c r="AV184" s="823">
        <f>SUM(AV185:AV192)</f>
        <v>0</v>
      </c>
      <c r="AW184" s="823">
        <f>SUM(AU184:AV184)</f>
        <v>966000000</v>
      </c>
      <c r="AX184" s="824">
        <f>SUM(AX185:AX192)</f>
        <v>870580220</v>
      </c>
      <c r="AY184" s="825">
        <f>+AX184/AW184*100</f>
        <v>90.122175983436861</v>
      </c>
      <c r="AZ184" s="826">
        <f>SUM(AZ185:AZ192)</f>
        <v>599777739</v>
      </c>
      <c r="BA184" s="825">
        <f>+AZ184/AW184*100</f>
        <v>62.088792857142863</v>
      </c>
      <c r="BB184" s="826">
        <f>SUM(BB185:BB192)</f>
        <v>537004739</v>
      </c>
      <c r="BC184" s="825">
        <f>+BB184/AW184*100</f>
        <v>55.590552691511384</v>
      </c>
      <c r="BD184" s="947">
        <f>SUM(BD185:BD192)</f>
        <v>532320000</v>
      </c>
      <c r="BE184" s="947">
        <f>SUM(BE185:BE192)</f>
        <v>0</v>
      </c>
      <c r="BF184" s="947">
        <f>SUM(BF185:BF192)</f>
        <v>0</v>
      </c>
      <c r="BG184" s="947">
        <f>SUM(BD184:BF184)</f>
        <v>532320000</v>
      </c>
      <c r="BH184" s="947">
        <f>SUM(BH185:BH192)</f>
        <v>399376510</v>
      </c>
      <c r="BI184" s="947">
        <f>+BH184/BG184*100</f>
        <v>75.025644349263601</v>
      </c>
      <c r="BJ184" s="947">
        <f>SUM(BJ185:BJ192)</f>
        <v>72029272</v>
      </c>
      <c r="BK184" s="947">
        <f>+BJ184/BG184*100</f>
        <v>13.53119777577397</v>
      </c>
      <c r="BL184" s="947">
        <f>SUM(BL185:BL192)</f>
        <v>72029272</v>
      </c>
      <c r="BM184" s="947">
        <f>+BL184/BG184*100</f>
        <v>13.53119777577397</v>
      </c>
      <c r="BN184" s="947">
        <f>SUM(BN185:BN192)</f>
        <v>527000000</v>
      </c>
      <c r="BO184" s="947">
        <f>SUM(BO185:BO192)</f>
        <v>0</v>
      </c>
      <c r="BP184" s="947">
        <f>SUM(BP185:BP192)</f>
        <v>0</v>
      </c>
      <c r="BQ184" s="947">
        <f>SUM(BN184:BP184)</f>
        <v>527000000</v>
      </c>
      <c r="BR184" s="947">
        <f>SUM(BR185:BR192)</f>
        <v>543000000</v>
      </c>
      <c r="BS184" s="947">
        <f>SUM(BS185:BS192)</f>
        <v>0</v>
      </c>
      <c r="BT184" s="947">
        <f>SUM(BT185:BT192)</f>
        <v>0</v>
      </c>
      <c r="BU184" s="947">
        <f>SUM(BR184:BT184)</f>
        <v>543000000</v>
      </c>
      <c r="BV184" s="947">
        <f>SUM(BV185:BV192)</f>
        <v>553000000</v>
      </c>
      <c r="BW184" s="947">
        <f>SUM(BW185:BW192)</f>
        <v>0</v>
      </c>
      <c r="BX184" s="947">
        <f>SUM(BX185:BX192)</f>
        <v>0</v>
      </c>
      <c r="BY184" s="947">
        <f>SUM(BV184:BX184)</f>
        <v>553000000</v>
      </c>
      <c r="BZ184" s="948">
        <f>SUM(BZ185:BZ192)</f>
        <v>2594320000</v>
      </c>
      <c r="CA184" s="948">
        <f>SUM(CA185:CA192)</f>
        <v>1269956730</v>
      </c>
      <c r="CB184" s="949">
        <f>+CA184/BZ184*100</f>
        <v>48.951429661722536</v>
      </c>
      <c r="CC184" s="827"/>
      <c r="CD184" s="825"/>
      <c r="CE184" s="828"/>
      <c r="CF184" s="834">
        <f>SUM(BZ185:BZ192)</f>
        <v>2594320000</v>
      </c>
      <c r="CG184" s="829">
        <v>150000000</v>
      </c>
      <c r="CH184" s="815"/>
      <c r="CI184" s="815"/>
      <c r="CJ184" s="846"/>
      <c r="CL184" s="821"/>
      <c r="CX184" s="911">
        <f t="shared" si="82"/>
        <v>5320000</v>
      </c>
      <c r="CY184" s="1009"/>
      <c r="DA184" s="1067"/>
    </row>
    <row r="185" spans="1:107" s="68" customFormat="1" ht="227.25" customHeight="1" x14ac:dyDescent="0.2">
      <c r="A185" s="1449" t="s">
        <v>96</v>
      </c>
      <c r="C185" s="525"/>
      <c r="D185" s="525"/>
      <c r="E185" s="524"/>
      <c r="F185" s="525"/>
      <c r="G185" s="525"/>
      <c r="H185" s="525"/>
      <c r="I185" s="525"/>
      <c r="J185" s="520"/>
      <c r="K185" s="1446" t="s">
        <v>421</v>
      </c>
      <c r="L185" s="519"/>
      <c r="M185" s="519"/>
      <c r="N185" s="519"/>
      <c r="O185" s="519"/>
      <c r="P185" s="1449" t="s">
        <v>911</v>
      </c>
      <c r="Q185" s="1442">
        <v>35</v>
      </c>
      <c r="R185" s="1442">
        <v>35</v>
      </c>
      <c r="S185" s="1442">
        <v>35</v>
      </c>
      <c r="T185" s="1442">
        <v>35</v>
      </c>
      <c r="U185" s="1449" t="s">
        <v>773</v>
      </c>
      <c r="V185" s="1452" t="s">
        <v>147</v>
      </c>
      <c r="W185" s="1455">
        <v>100</v>
      </c>
      <c r="X185" s="1455">
        <f>(100+100+100+100+100+100+100+100)/8</f>
        <v>100</v>
      </c>
      <c r="Y185" s="1462">
        <v>35</v>
      </c>
      <c r="Z185" s="506" t="s">
        <v>1105</v>
      </c>
      <c r="AA185" s="1458">
        <f>+Y185</f>
        <v>35</v>
      </c>
      <c r="AB185" s="1455">
        <v>100</v>
      </c>
      <c r="AC185" s="1472">
        <f>+(57.5+66.67+85.71+0+50)/5</f>
        <v>51.975999999999999</v>
      </c>
      <c r="AD185" s="1466">
        <f>(((AC185/AB185*100)*AM185)/100)</f>
        <v>18.191599999999998</v>
      </c>
      <c r="AE185" s="1357" t="s">
        <v>1323</v>
      </c>
      <c r="AF185" s="1458">
        <f>+(70+70+86+70+50)/5</f>
        <v>69.2</v>
      </c>
      <c r="AG185" s="1455">
        <v>100</v>
      </c>
      <c r="AH185" s="1455">
        <v>100</v>
      </c>
      <c r="AI185" s="1455">
        <v>100</v>
      </c>
      <c r="AJ185" s="1458">
        <v>35</v>
      </c>
      <c r="AK185" s="1452">
        <v>25</v>
      </c>
      <c r="AL185" s="1461">
        <v>35</v>
      </c>
      <c r="AM185" s="1463">
        <v>35</v>
      </c>
      <c r="AN185" s="506" t="s">
        <v>1121</v>
      </c>
      <c r="AO185" s="1422">
        <v>204000000</v>
      </c>
      <c r="AP185" s="1422"/>
      <c r="AQ185" s="1422">
        <f>SUM(AO185:AP185)</f>
        <v>204000000</v>
      </c>
      <c r="AR185" s="1426">
        <v>310500000</v>
      </c>
      <c r="AS185" s="1426"/>
      <c r="AT185" s="1426">
        <f>+AR185+AS185</f>
        <v>310500000</v>
      </c>
      <c r="AU185" s="1419">
        <v>310500000</v>
      </c>
      <c r="AV185" s="1419"/>
      <c r="AW185" s="1419">
        <f>SUM(AU185:AV185)</f>
        <v>310500000</v>
      </c>
      <c r="AX185" s="1413">
        <v>285862036</v>
      </c>
      <c r="AY185" s="1407">
        <f>+AX185/AW185*100</f>
        <v>92.065067954911427</v>
      </c>
      <c r="AZ185" s="1404">
        <v>242547484</v>
      </c>
      <c r="BA185" s="1407">
        <f>+AZ185/AW185*100</f>
        <v>78.115131723027375</v>
      </c>
      <c r="BB185" s="1404">
        <v>239123984</v>
      </c>
      <c r="BC185" s="1407">
        <f>+BB185/AW185*100</f>
        <v>77.012555233494368</v>
      </c>
      <c r="BD185" s="1388">
        <v>204000000</v>
      </c>
      <c r="BE185" s="1388"/>
      <c r="BF185" s="1388"/>
      <c r="BG185" s="1388">
        <f>SUM(BD185:BF185)</f>
        <v>204000000</v>
      </c>
      <c r="BH185" s="1388">
        <v>154964720</v>
      </c>
      <c r="BI185" s="1388">
        <f>+BH185/BG185*100</f>
        <v>75.96309803921568</v>
      </c>
      <c r="BJ185" s="1388">
        <v>6651000</v>
      </c>
      <c r="BK185" s="1388">
        <f>+BJ185/BG185*100</f>
        <v>3.2602941176470592</v>
      </c>
      <c r="BL185" s="1388">
        <v>6651000</v>
      </c>
      <c r="BM185" s="1388">
        <f>+BL185/BG185*100</f>
        <v>3.2602941176470592</v>
      </c>
      <c r="BN185" s="1388">
        <v>204000000</v>
      </c>
      <c r="BO185" s="1388"/>
      <c r="BP185" s="1388"/>
      <c r="BQ185" s="1388">
        <f>SUM(BN185:BP185)</f>
        <v>204000000</v>
      </c>
      <c r="BR185" s="1388">
        <v>206000000</v>
      </c>
      <c r="BS185" s="1388"/>
      <c r="BT185" s="1388"/>
      <c r="BU185" s="1388">
        <f>SUM(BR185:BT185)</f>
        <v>206000000</v>
      </c>
      <c r="BV185" s="1388">
        <v>206000000</v>
      </c>
      <c r="BW185" s="1388"/>
      <c r="BX185" s="1388"/>
      <c r="BY185" s="1388">
        <f>SUM(BV185:BX185)</f>
        <v>206000000</v>
      </c>
      <c r="BZ185" s="1401">
        <f>+AW185+BG185+BU185+BY185</f>
        <v>926500000</v>
      </c>
      <c r="CA185" s="1401">
        <f>+BH185+AX185</f>
        <v>440826756</v>
      </c>
      <c r="CB185" s="1434">
        <f>+CA185/BZ185*100</f>
        <v>47.579790178089588</v>
      </c>
      <c r="CC185" s="1436" t="s">
        <v>907</v>
      </c>
      <c r="CD185" s="1407"/>
      <c r="CE185" s="542"/>
      <c r="CF185" s="652"/>
      <c r="CG185" s="529"/>
      <c r="CH185" s="64"/>
      <c r="CI185" s="64"/>
      <c r="CJ185" s="64"/>
      <c r="CL185" s="251"/>
      <c r="CX185" s="911">
        <f t="shared" si="82"/>
        <v>0</v>
      </c>
      <c r="CY185" s="1010"/>
      <c r="DA185" s="1109"/>
    </row>
    <row r="186" spans="1:107" s="68" customFormat="1" ht="281.25" x14ac:dyDescent="0.2">
      <c r="A186" s="1450"/>
      <c r="C186" s="525"/>
      <c r="D186" s="525"/>
      <c r="E186" s="524"/>
      <c r="F186" s="525"/>
      <c r="G186" s="525"/>
      <c r="H186" s="525"/>
      <c r="I186" s="525"/>
      <c r="J186" s="520"/>
      <c r="K186" s="1447"/>
      <c r="L186" s="520"/>
      <c r="M186" s="520"/>
      <c r="N186" s="520"/>
      <c r="O186" s="520"/>
      <c r="P186" s="1450"/>
      <c r="Q186" s="1443"/>
      <c r="R186" s="1443"/>
      <c r="S186" s="1443"/>
      <c r="T186" s="1443"/>
      <c r="U186" s="1450"/>
      <c r="V186" s="1453"/>
      <c r="W186" s="1456"/>
      <c r="X186" s="1456"/>
      <c r="Y186" s="1462"/>
      <c r="Z186" s="1358" t="s">
        <v>1106</v>
      </c>
      <c r="AA186" s="1459"/>
      <c r="AB186" s="1456"/>
      <c r="AC186" s="1473"/>
      <c r="AD186" s="1467"/>
      <c r="AE186" s="1357" t="s">
        <v>1324</v>
      </c>
      <c r="AF186" s="1459"/>
      <c r="AG186" s="1456"/>
      <c r="AH186" s="1456"/>
      <c r="AI186" s="1456"/>
      <c r="AJ186" s="1459"/>
      <c r="AK186" s="1453"/>
      <c r="AL186" s="1461"/>
      <c r="AM186" s="1464"/>
      <c r="AN186" s="506" t="s">
        <v>714</v>
      </c>
      <c r="AO186" s="1476"/>
      <c r="AP186" s="1476"/>
      <c r="AQ186" s="1476"/>
      <c r="AR186" s="1427"/>
      <c r="AS186" s="1427"/>
      <c r="AT186" s="1427"/>
      <c r="AU186" s="1420"/>
      <c r="AV186" s="1420"/>
      <c r="AW186" s="1420"/>
      <c r="AX186" s="1414"/>
      <c r="AY186" s="1408" t="e">
        <f>+AX186/AR186*100</f>
        <v>#DIV/0!</v>
      </c>
      <c r="AZ186" s="1405"/>
      <c r="BA186" s="1424" t="e">
        <f>+AZ186/AT186*100</f>
        <v>#DIV/0!</v>
      </c>
      <c r="BB186" s="1405"/>
      <c r="BC186" s="1408" t="e">
        <f>+BB186/AY186*100</f>
        <v>#DIV/0!</v>
      </c>
      <c r="BD186" s="1389"/>
      <c r="BE186" s="1389"/>
      <c r="BF186" s="1389"/>
      <c r="BG186" s="1389"/>
      <c r="BH186" s="1389"/>
      <c r="BI186" s="1389"/>
      <c r="BJ186" s="1389"/>
      <c r="BK186" s="1389"/>
      <c r="BL186" s="1389"/>
      <c r="BM186" s="1389"/>
      <c r="BN186" s="1389"/>
      <c r="BO186" s="1389"/>
      <c r="BP186" s="1389"/>
      <c r="BQ186" s="1389"/>
      <c r="BR186" s="1389"/>
      <c r="BS186" s="1389"/>
      <c r="BT186" s="1389"/>
      <c r="BU186" s="1389"/>
      <c r="BV186" s="1389"/>
      <c r="BW186" s="1389"/>
      <c r="BX186" s="1389"/>
      <c r="BY186" s="1389"/>
      <c r="BZ186" s="1402">
        <f>+AQ186+BQ186+BU186+BY186</f>
        <v>0</v>
      </c>
      <c r="CA186" s="1402"/>
      <c r="CB186" s="1435" t="e">
        <f>+CA186/BX186*100</f>
        <v>#DIV/0!</v>
      </c>
      <c r="CC186" s="1437"/>
      <c r="CD186" s="1408"/>
      <c r="CE186" s="542"/>
      <c r="CF186" s="652"/>
      <c r="CG186" s="529"/>
      <c r="CH186" s="64"/>
      <c r="CI186" s="64"/>
      <c r="CJ186" s="64"/>
      <c r="CL186" s="523"/>
      <c r="CX186" s="911">
        <f t="shared" si="82"/>
        <v>0</v>
      </c>
      <c r="CY186" s="1010"/>
      <c r="DA186" s="1109"/>
    </row>
    <row r="187" spans="1:107" s="68" customFormat="1" ht="140.25" customHeight="1" x14ac:dyDescent="0.2">
      <c r="A187" s="1450"/>
      <c r="C187" s="525"/>
      <c r="D187" s="525"/>
      <c r="E187" s="524"/>
      <c r="F187" s="525"/>
      <c r="G187" s="525"/>
      <c r="H187" s="525"/>
      <c r="I187" s="525"/>
      <c r="J187" s="520"/>
      <c r="K187" s="1447"/>
      <c r="L187" s="520"/>
      <c r="M187" s="520"/>
      <c r="N187" s="520"/>
      <c r="O187" s="520"/>
      <c r="P187" s="1450"/>
      <c r="Q187" s="1443"/>
      <c r="R187" s="1443"/>
      <c r="S187" s="1443"/>
      <c r="T187" s="1443"/>
      <c r="U187" s="1450"/>
      <c r="V187" s="1453"/>
      <c r="W187" s="1456"/>
      <c r="X187" s="1456"/>
      <c r="Y187" s="1462"/>
      <c r="Z187" s="1359" t="s">
        <v>1107</v>
      </c>
      <c r="AA187" s="1459"/>
      <c r="AB187" s="1456"/>
      <c r="AC187" s="1473"/>
      <c r="AD187" s="1467"/>
      <c r="AE187" s="1360" t="s">
        <v>1325</v>
      </c>
      <c r="AF187" s="1459"/>
      <c r="AG187" s="1456"/>
      <c r="AH187" s="1456"/>
      <c r="AI187" s="1456"/>
      <c r="AJ187" s="1459"/>
      <c r="AK187" s="1453"/>
      <c r="AL187" s="1461"/>
      <c r="AM187" s="1464"/>
      <c r="AN187" s="506" t="s">
        <v>715</v>
      </c>
      <c r="AO187" s="1476"/>
      <c r="AP187" s="1476"/>
      <c r="AQ187" s="1476"/>
      <c r="AR187" s="1427"/>
      <c r="AS187" s="1427"/>
      <c r="AT187" s="1427"/>
      <c r="AU187" s="1420"/>
      <c r="AV187" s="1420"/>
      <c r="AW187" s="1420"/>
      <c r="AX187" s="1414"/>
      <c r="AY187" s="1408" t="e">
        <f>+AX187/AR187*100</f>
        <v>#DIV/0!</v>
      </c>
      <c r="AZ187" s="1405"/>
      <c r="BA187" s="1424" t="e">
        <f>+AZ187/AT187*100</f>
        <v>#DIV/0!</v>
      </c>
      <c r="BB187" s="1405"/>
      <c r="BC187" s="1408" t="e">
        <f>+BB187/AY187*100</f>
        <v>#DIV/0!</v>
      </c>
      <c r="BD187" s="1389"/>
      <c r="BE187" s="1389"/>
      <c r="BF187" s="1389"/>
      <c r="BG187" s="1389"/>
      <c r="BH187" s="1389"/>
      <c r="BI187" s="1389"/>
      <c r="BJ187" s="1389"/>
      <c r="BK187" s="1389"/>
      <c r="BL187" s="1389"/>
      <c r="BM187" s="1389"/>
      <c r="BN187" s="1389"/>
      <c r="BO187" s="1389"/>
      <c r="BP187" s="1389"/>
      <c r="BQ187" s="1389"/>
      <c r="BR187" s="1389"/>
      <c r="BS187" s="1389"/>
      <c r="BT187" s="1389"/>
      <c r="BU187" s="1389"/>
      <c r="BV187" s="1389"/>
      <c r="BW187" s="1389"/>
      <c r="BX187" s="1389"/>
      <c r="BY187" s="1389"/>
      <c r="BZ187" s="1402">
        <f>+AQ187+BQ187+BU187+BY187</f>
        <v>0</v>
      </c>
      <c r="CA187" s="1402"/>
      <c r="CB187" s="1435" t="e">
        <f>+CA187/BX187*100</f>
        <v>#DIV/0!</v>
      </c>
      <c r="CC187" s="1437"/>
      <c r="CD187" s="1408"/>
      <c r="CE187" s="542"/>
      <c r="CF187" s="652"/>
      <c r="CG187" s="529"/>
      <c r="CH187" s="64"/>
      <c r="CI187" s="64"/>
      <c r="CJ187" s="64"/>
      <c r="CL187" s="523"/>
      <c r="CX187" s="911">
        <f t="shared" si="82"/>
        <v>0</v>
      </c>
      <c r="CY187" s="1010"/>
      <c r="DA187" s="1109"/>
    </row>
    <row r="188" spans="1:107" s="68" customFormat="1" ht="135" x14ac:dyDescent="0.2">
      <c r="A188" s="1451"/>
      <c r="C188" s="525"/>
      <c r="D188" s="525"/>
      <c r="E188" s="524"/>
      <c r="F188" s="525"/>
      <c r="G188" s="525"/>
      <c r="H188" s="525"/>
      <c r="I188" s="525"/>
      <c r="J188" s="520"/>
      <c r="K188" s="1447"/>
      <c r="L188" s="520"/>
      <c r="M188" s="520"/>
      <c r="N188" s="520"/>
      <c r="O188" s="520"/>
      <c r="P188" s="1451"/>
      <c r="Q188" s="1444"/>
      <c r="R188" s="1444"/>
      <c r="S188" s="1444"/>
      <c r="T188" s="1444"/>
      <c r="U188" s="1450"/>
      <c r="V188" s="1453"/>
      <c r="W188" s="1456"/>
      <c r="X188" s="1456"/>
      <c r="Y188" s="1462"/>
      <c r="Z188" s="1361" t="s">
        <v>1108</v>
      </c>
      <c r="AA188" s="1459"/>
      <c r="AB188" s="1456"/>
      <c r="AC188" s="1473"/>
      <c r="AD188" s="1467"/>
      <c r="AE188" s="1362" t="s">
        <v>1350</v>
      </c>
      <c r="AF188" s="1459"/>
      <c r="AG188" s="1456"/>
      <c r="AH188" s="1456"/>
      <c r="AI188" s="1456"/>
      <c r="AJ188" s="1459"/>
      <c r="AK188" s="1453"/>
      <c r="AL188" s="1461"/>
      <c r="AM188" s="1465"/>
      <c r="AN188" s="506" t="s">
        <v>718</v>
      </c>
      <c r="AO188" s="1423"/>
      <c r="AP188" s="1423"/>
      <c r="AQ188" s="1423"/>
      <c r="AR188" s="1428"/>
      <c r="AS188" s="1428"/>
      <c r="AT188" s="1428"/>
      <c r="AU188" s="1421"/>
      <c r="AV188" s="1421"/>
      <c r="AW188" s="1421"/>
      <c r="AX188" s="1415"/>
      <c r="AY188" s="1409" t="e">
        <f>+AX188/AR188*100</f>
        <v>#DIV/0!</v>
      </c>
      <c r="AZ188" s="1406"/>
      <c r="BA188" s="1425" t="e">
        <f>+AZ188/AT188*100</f>
        <v>#DIV/0!</v>
      </c>
      <c r="BB188" s="1406"/>
      <c r="BC188" s="1409" t="e">
        <f>+BB188/AY188*100</f>
        <v>#DIV/0!</v>
      </c>
      <c r="BD188" s="1390"/>
      <c r="BE188" s="1390"/>
      <c r="BF188" s="1390"/>
      <c r="BG188" s="1390"/>
      <c r="BH188" s="1390"/>
      <c r="BI188" s="1390"/>
      <c r="BJ188" s="1390"/>
      <c r="BK188" s="1390"/>
      <c r="BL188" s="1390"/>
      <c r="BM188" s="1390"/>
      <c r="BN188" s="1390"/>
      <c r="BO188" s="1390"/>
      <c r="BP188" s="1390"/>
      <c r="BQ188" s="1390"/>
      <c r="BR188" s="1390"/>
      <c r="BS188" s="1390"/>
      <c r="BT188" s="1390"/>
      <c r="BU188" s="1390"/>
      <c r="BV188" s="1390"/>
      <c r="BW188" s="1390"/>
      <c r="BX188" s="1390"/>
      <c r="BY188" s="1390"/>
      <c r="BZ188" s="1403">
        <f>+AQ188+BQ188+BU188+BY188</f>
        <v>0</v>
      </c>
      <c r="CA188" s="1403"/>
      <c r="CB188" s="1438" t="e">
        <f>+CA188/BX188*100</f>
        <v>#DIV/0!</v>
      </c>
      <c r="CC188" s="1439"/>
      <c r="CD188" s="1409"/>
      <c r="CE188" s="542"/>
      <c r="CF188" s="652"/>
      <c r="CG188" s="529"/>
      <c r="CH188" s="64"/>
      <c r="CI188" s="64"/>
      <c r="CJ188" s="64"/>
      <c r="CL188" s="252"/>
      <c r="CX188" s="911">
        <f t="shared" si="82"/>
        <v>0</v>
      </c>
      <c r="CY188" s="1010"/>
      <c r="DA188" s="1109"/>
    </row>
    <row r="189" spans="1:107" s="68" customFormat="1" ht="168.75" x14ac:dyDescent="0.2">
      <c r="A189" s="16" t="s">
        <v>97</v>
      </c>
      <c r="C189" s="525"/>
      <c r="D189" s="525"/>
      <c r="E189" s="524"/>
      <c r="F189" s="525"/>
      <c r="G189" s="525"/>
      <c r="H189" s="525"/>
      <c r="I189" s="525"/>
      <c r="J189" s="653"/>
      <c r="K189" s="1447"/>
      <c r="L189" s="520"/>
      <c r="M189" s="520"/>
      <c r="N189" s="520"/>
      <c r="O189" s="520"/>
      <c r="P189" s="16" t="s">
        <v>158</v>
      </c>
      <c r="Q189" s="568">
        <v>20</v>
      </c>
      <c r="R189" s="568">
        <v>20</v>
      </c>
      <c r="S189" s="568">
        <v>20</v>
      </c>
      <c r="T189" s="568">
        <v>20</v>
      </c>
      <c r="U189" s="1450"/>
      <c r="V189" s="1453"/>
      <c r="W189" s="1456"/>
      <c r="X189" s="1456"/>
      <c r="Y189" s="1363">
        <v>20</v>
      </c>
      <c r="Z189" s="1359" t="s">
        <v>1109</v>
      </c>
      <c r="AA189" s="1459"/>
      <c r="AB189" s="1456"/>
      <c r="AC189" s="1473"/>
      <c r="AD189" s="1467"/>
      <c r="AE189" s="1362" t="s">
        <v>1326</v>
      </c>
      <c r="AF189" s="1459"/>
      <c r="AG189" s="1456"/>
      <c r="AH189" s="1456"/>
      <c r="AI189" s="1456"/>
      <c r="AJ189" s="1459"/>
      <c r="AK189" s="1453" t="e">
        <f>+AJ189/AI189*100</f>
        <v>#DIV/0!</v>
      </c>
      <c r="AL189" s="1364">
        <v>20</v>
      </c>
      <c r="AM189" s="1364">
        <v>20</v>
      </c>
      <c r="AN189" s="506" t="s">
        <v>717</v>
      </c>
      <c r="AO189" s="183">
        <v>77000000</v>
      </c>
      <c r="AP189" s="183"/>
      <c r="AQ189" s="183">
        <f>SUM(AO189:AP189)</f>
        <v>77000000</v>
      </c>
      <c r="AR189" s="582">
        <v>105500000</v>
      </c>
      <c r="AS189" s="411"/>
      <c r="AT189" s="411">
        <f>+AS189+AR189</f>
        <v>105500000</v>
      </c>
      <c r="AU189" s="710">
        <v>285500000</v>
      </c>
      <c r="AV189" s="710"/>
      <c r="AW189" s="710">
        <f>SUM(AU189:AV189)</f>
        <v>285500000</v>
      </c>
      <c r="AX189" s="776">
        <v>243211908</v>
      </c>
      <c r="AY189" s="680">
        <f>+AX189/AW189*100</f>
        <v>85.188058844133096</v>
      </c>
      <c r="AZ189" s="683">
        <v>76547583</v>
      </c>
      <c r="BA189" s="680">
        <f>+AZ189/AW189*100</f>
        <v>26.811762872154116</v>
      </c>
      <c r="BB189" s="683">
        <v>76547583</v>
      </c>
      <c r="BC189" s="680">
        <f>+BB189/AW189*100</f>
        <v>26.811762872154116</v>
      </c>
      <c r="BD189" s="1031">
        <v>78000000</v>
      </c>
      <c r="BE189" s="998"/>
      <c r="BF189" s="1031"/>
      <c r="BG189" s="1031">
        <f>SUM(BD189:BF189)</f>
        <v>78000000</v>
      </c>
      <c r="BH189" s="1076">
        <v>56028806</v>
      </c>
      <c r="BI189" s="997">
        <f>+BH189/BG189*100</f>
        <v>71.83180256410256</v>
      </c>
      <c r="BJ189" s="1076">
        <v>3200000</v>
      </c>
      <c r="BK189" s="997">
        <f>+BJ189/BG189*100</f>
        <v>4.1025641025641022</v>
      </c>
      <c r="BL189" s="1076">
        <v>3200000</v>
      </c>
      <c r="BM189" s="997">
        <f>+BL189/BG189*100</f>
        <v>4.1025641025641022</v>
      </c>
      <c r="BN189" s="964">
        <v>78000000</v>
      </c>
      <c r="BO189" s="998"/>
      <c r="BP189" s="964"/>
      <c r="BQ189" s="964">
        <f>SUM(BN189:BP189)</f>
        <v>78000000</v>
      </c>
      <c r="BR189" s="964">
        <v>80000000</v>
      </c>
      <c r="BS189" s="998"/>
      <c r="BT189" s="964"/>
      <c r="BU189" s="964">
        <f>SUM(BR189:BT189)</f>
        <v>80000000</v>
      </c>
      <c r="BV189" s="964">
        <v>85000000</v>
      </c>
      <c r="BW189" s="964"/>
      <c r="BX189" s="964"/>
      <c r="BY189" s="964">
        <f>SUM(BV189:BX189)</f>
        <v>85000000</v>
      </c>
      <c r="BZ189" s="967">
        <f>+AW189+BG189+BU189+BY189</f>
        <v>528500000</v>
      </c>
      <c r="CA189" s="977">
        <f>+BH189+AX189</f>
        <v>299240714</v>
      </c>
      <c r="CB189" s="970">
        <f t="shared" ref="CB189:CB194" si="103">+CA189/BZ189*100</f>
        <v>56.62075950804163</v>
      </c>
      <c r="CC189" s="695" t="s">
        <v>1008</v>
      </c>
      <c r="CD189" s="1033"/>
      <c r="CE189" s="528"/>
      <c r="CF189" s="528"/>
      <c r="CG189" s="529"/>
      <c r="CH189" s="64"/>
      <c r="CI189" s="64"/>
      <c r="CJ189" s="64"/>
      <c r="CL189" s="183">
        <v>180000000</v>
      </c>
      <c r="CX189" s="911">
        <f t="shared" si="82"/>
        <v>0</v>
      </c>
      <c r="CY189" s="1010"/>
      <c r="DA189" s="1109"/>
    </row>
    <row r="190" spans="1:107" s="68" customFormat="1" ht="146.25" x14ac:dyDescent="0.2">
      <c r="A190" s="16" t="s">
        <v>98</v>
      </c>
      <c r="C190" s="525"/>
      <c r="D190" s="525"/>
      <c r="E190" s="524"/>
      <c r="F190" s="525"/>
      <c r="G190" s="525"/>
      <c r="H190" s="525"/>
      <c r="I190" s="525"/>
      <c r="J190" s="520"/>
      <c r="K190" s="1447"/>
      <c r="L190" s="520"/>
      <c r="M190" s="520"/>
      <c r="N190" s="520"/>
      <c r="O190" s="520"/>
      <c r="P190" s="16" t="s">
        <v>157</v>
      </c>
      <c r="Q190" s="568">
        <v>15</v>
      </c>
      <c r="R190" s="568">
        <v>15</v>
      </c>
      <c r="S190" s="568">
        <v>15</v>
      </c>
      <c r="T190" s="568">
        <v>15</v>
      </c>
      <c r="U190" s="1450"/>
      <c r="V190" s="1453"/>
      <c r="W190" s="1456"/>
      <c r="X190" s="1456"/>
      <c r="Y190" s="1363">
        <v>15</v>
      </c>
      <c r="Z190" s="506" t="s">
        <v>1122</v>
      </c>
      <c r="AA190" s="1459"/>
      <c r="AB190" s="1456"/>
      <c r="AC190" s="1473"/>
      <c r="AD190" s="1467"/>
      <c r="AE190" s="1362" t="s">
        <v>1327</v>
      </c>
      <c r="AF190" s="1459"/>
      <c r="AG190" s="1456"/>
      <c r="AH190" s="1456"/>
      <c r="AI190" s="1456"/>
      <c r="AJ190" s="1459"/>
      <c r="AK190" s="1453"/>
      <c r="AL190" s="1364">
        <v>15</v>
      </c>
      <c r="AM190" s="1364">
        <v>15</v>
      </c>
      <c r="AN190" s="506" t="s">
        <v>716</v>
      </c>
      <c r="AO190" s="183">
        <v>195000000</v>
      </c>
      <c r="AP190" s="183"/>
      <c r="AQ190" s="183">
        <f>SUM(AO190:AP190)</f>
        <v>195000000</v>
      </c>
      <c r="AR190" s="582">
        <v>210000000</v>
      </c>
      <c r="AS190" s="411"/>
      <c r="AT190" s="411">
        <f>+AS190+AR190</f>
        <v>210000000</v>
      </c>
      <c r="AU190" s="709">
        <v>210000000</v>
      </c>
      <c r="AV190" s="710"/>
      <c r="AW190" s="710">
        <f>SUM(AU190:AV190)</f>
        <v>210000000</v>
      </c>
      <c r="AX190" s="776">
        <v>182569825</v>
      </c>
      <c r="AY190" s="680">
        <f>+AX190/AW190*100</f>
        <v>86.938011904761908</v>
      </c>
      <c r="AZ190" s="683">
        <v>181733172</v>
      </c>
      <c r="BA190" s="680">
        <f>+AZ190/AW190*100</f>
        <v>86.539605714285713</v>
      </c>
      <c r="BB190" s="678">
        <v>181733172</v>
      </c>
      <c r="BC190" s="680">
        <f>+BB190/AW190*100</f>
        <v>86.539605714285713</v>
      </c>
      <c r="BD190" s="1076">
        <v>165320000</v>
      </c>
      <c r="BE190" s="998"/>
      <c r="BF190" s="1031"/>
      <c r="BG190" s="1031">
        <f>SUM(BD190:BF190)</f>
        <v>165320000</v>
      </c>
      <c r="BH190" s="1076">
        <v>114261560</v>
      </c>
      <c r="BI190" s="997">
        <f>+BH190/BG190*100</f>
        <v>69.115388337769176</v>
      </c>
      <c r="BJ190" s="1076">
        <v>45955560</v>
      </c>
      <c r="BK190" s="997">
        <f>+BJ190/BG190*100</f>
        <v>27.79794338253085</v>
      </c>
      <c r="BL190" s="1076">
        <v>45955560</v>
      </c>
      <c r="BM190" s="997">
        <f>+BL190/BG190*100</f>
        <v>27.79794338253085</v>
      </c>
      <c r="BN190" s="964">
        <v>160000000</v>
      </c>
      <c r="BO190" s="998"/>
      <c r="BP190" s="964"/>
      <c r="BQ190" s="964">
        <f>SUM(BN190:BP190)</f>
        <v>160000000</v>
      </c>
      <c r="BR190" s="964">
        <v>164000000</v>
      </c>
      <c r="BS190" s="998"/>
      <c r="BT190" s="964"/>
      <c r="BU190" s="964">
        <f>SUM(BR190:BT190)</f>
        <v>164000000</v>
      </c>
      <c r="BV190" s="964">
        <v>164000000</v>
      </c>
      <c r="BW190" s="964"/>
      <c r="BX190" s="964"/>
      <c r="BY190" s="964">
        <f>SUM(BV190:BX190)</f>
        <v>164000000</v>
      </c>
      <c r="BZ190" s="967">
        <f>+AW190+BG190+BU190+BY190</f>
        <v>703320000</v>
      </c>
      <c r="CA190" s="977">
        <f>+BH190+AX190</f>
        <v>296831385</v>
      </c>
      <c r="CB190" s="970">
        <f t="shared" si="103"/>
        <v>42.204314536768464</v>
      </c>
      <c r="CC190" s="695" t="s">
        <v>908</v>
      </c>
      <c r="CD190" s="1038" t="s">
        <v>1195</v>
      </c>
      <c r="CE190" s="528"/>
      <c r="CF190" s="528"/>
      <c r="CG190" s="529"/>
      <c r="CH190" s="64"/>
      <c r="CI190" s="64"/>
      <c r="CJ190" s="64"/>
      <c r="CL190" s="183"/>
      <c r="CX190" s="911">
        <f t="shared" si="82"/>
        <v>5320000</v>
      </c>
      <c r="CY190" s="1054"/>
      <c r="CZ190" s="1051"/>
      <c r="DA190" s="1133"/>
    </row>
    <row r="191" spans="1:107" s="68" customFormat="1" ht="236.25" x14ac:dyDescent="0.2">
      <c r="A191" s="16" t="s">
        <v>99</v>
      </c>
      <c r="C191" s="525"/>
      <c r="D191" s="525"/>
      <c r="E191" s="524"/>
      <c r="F191" s="525"/>
      <c r="G191" s="525"/>
      <c r="H191" s="525"/>
      <c r="I191" s="525"/>
      <c r="J191" s="520"/>
      <c r="K191" s="1447"/>
      <c r="L191" s="520"/>
      <c r="M191" s="520"/>
      <c r="N191" s="520"/>
      <c r="O191" s="520"/>
      <c r="P191" s="16" t="s">
        <v>553</v>
      </c>
      <c r="Q191" s="568">
        <v>15</v>
      </c>
      <c r="R191" s="568">
        <v>15</v>
      </c>
      <c r="S191" s="568">
        <v>15</v>
      </c>
      <c r="T191" s="568">
        <v>15</v>
      </c>
      <c r="U191" s="1450"/>
      <c r="V191" s="1453"/>
      <c r="W191" s="1456"/>
      <c r="X191" s="1456"/>
      <c r="Y191" s="1363">
        <v>15</v>
      </c>
      <c r="Z191" s="1365" t="s">
        <v>1134</v>
      </c>
      <c r="AA191" s="1459"/>
      <c r="AB191" s="1456"/>
      <c r="AC191" s="1473"/>
      <c r="AD191" s="1467"/>
      <c r="AE191" s="1362" t="s">
        <v>1329</v>
      </c>
      <c r="AF191" s="1459"/>
      <c r="AG191" s="1456"/>
      <c r="AH191" s="1456"/>
      <c r="AI191" s="1456"/>
      <c r="AJ191" s="1459"/>
      <c r="AK191" s="1453"/>
      <c r="AL191" s="1364">
        <v>15</v>
      </c>
      <c r="AM191" s="1364">
        <v>15</v>
      </c>
      <c r="AN191" s="506" t="s">
        <v>1113</v>
      </c>
      <c r="AO191" s="183">
        <v>40000000</v>
      </c>
      <c r="AP191" s="183"/>
      <c r="AQ191" s="183">
        <f>SUM(AO191:AP191)</f>
        <v>40000000</v>
      </c>
      <c r="AR191" s="582">
        <v>40000000</v>
      </c>
      <c r="AS191" s="411"/>
      <c r="AT191" s="411">
        <f>+AS191+AR191</f>
        <v>40000000</v>
      </c>
      <c r="AU191" s="710">
        <v>160000000</v>
      </c>
      <c r="AV191" s="710"/>
      <c r="AW191" s="710">
        <f>SUM(AU191:AV191)</f>
        <v>160000000</v>
      </c>
      <c r="AX191" s="776">
        <v>158936451</v>
      </c>
      <c r="AY191" s="680">
        <f>+AX191/AW191*100</f>
        <v>99.335281875000007</v>
      </c>
      <c r="AZ191" s="683">
        <v>98949500</v>
      </c>
      <c r="BA191" s="680">
        <f>+AZ191/AW191*100</f>
        <v>61.8434375</v>
      </c>
      <c r="BB191" s="683">
        <v>39600000</v>
      </c>
      <c r="BC191" s="680">
        <f>+BB191/AW191*100</f>
        <v>24.75</v>
      </c>
      <c r="BD191" s="1031">
        <v>45000000</v>
      </c>
      <c r="BE191" s="998"/>
      <c r="BF191" s="1031"/>
      <c r="BG191" s="1031">
        <f>SUM(BD191:BF191)</f>
        <v>45000000</v>
      </c>
      <c r="BH191" s="1077">
        <v>41676000</v>
      </c>
      <c r="BI191" s="1031">
        <f>+BH191/BG191*100</f>
        <v>92.61333333333333</v>
      </c>
      <c r="BJ191" s="1032">
        <v>0</v>
      </c>
      <c r="BK191" s="1031">
        <f>+BJ191/BG191*100</f>
        <v>0</v>
      </c>
      <c r="BL191" s="1032">
        <v>0</v>
      </c>
      <c r="BM191" s="1031">
        <f>+BL191/BG191*100</f>
        <v>0</v>
      </c>
      <c r="BN191" s="964">
        <v>45000000</v>
      </c>
      <c r="BO191" s="998"/>
      <c r="BP191" s="964"/>
      <c r="BQ191" s="964">
        <f>SUM(BN191:BP191)</f>
        <v>45000000</v>
      </c>
      <c r="BR191" s="964">
        <v>48000000</v>
      </c>
      <c r="BS191" s="998"/>
      <c r="BT191" s="964"/>
      <c r="BU191" s="964">
        <f>SUM(BR191:BT191)</f>
        <v>48000000</v>
      </c>
      <c r="BV191" s="964">
        <v>50000000</v>
      </c>
      <c r="BW191" s="964"/>
      <c r="BX191" s="964"/>
      <c r="BY191" s="964">
        <f>SUM(BV191:BX191)</f>
        <v>50000000</v>
      </c>
      <c r="BZ191" s="967">
        <f>+AW191+BG191+BU191+BY191</f>
        <v>303000000</v>
      </c>
      <c r="CA191" s="977">
        <f>+BH191+AX191</f>
        <v>200612451</v>
      </c>
      <c r="CB191" s="970">
        <f t="shared" si="103"/>
        <v>66.208729702970288</v>
      </c>
      <c r="CC191" s="908" t="s">
        <v>1009</v>
      </c>
      <c r="CD191" s="1033"/>
      <c r="CE191" s="528"/>
      <c r="CF191" s="528"/>
      <c r="CG191" s="529"/>
      <c r="CH191" s="64"/>
      <c r="CI191" s="64"/>
      <c r="CJ191" s="64"/>
      <c r="CL191" s="183">
        <v>120000000</v>
      </c>
      <c r="CX191" s="911">
        <f t="shared" si="82"/>
        <v>0</v>
      </c>
      <c r="CY191" s="1010"/>
      <c r="DA191" s="1109"/>
    </row>
    <row r="192" spans="1:107" s="1" customFormat="1" ht="202.5" x14ac:dyDescent="0.2">
      <c r="A192" s="41"/>
      <c r="C192" s="153"/>
      <c r="D192" s="153"/>
      <c r="E192" s="389"/>
      <c r="F192" s="153"/>
      <c r="G192" s="153"/>
      <c r="H192" s="153"/>
      <c r="I192" s="153"/>
      <c r="J192" s="236"/>
      <c r="K192" s="1448"/>
      <c r="L192" s="236"/>
      <c r="M192" s="236"/>
      <c r="N192" s="236"/>
      <c r="O192" s="236"/>
      <c r="P192" s="41" t="s">
        <v>554</v>
      </c>
      <c r="Q192" s="396">
        <v>15</v>
      </c>
      <c r="R192" s="396">
        <v>15</v>
      </c>
      <c r="S192" s="396">
        <v>15</v>
      </c>
      <c r="T192" s="396">
        <v>15</v>
      </c>
      <c r="U192" s="1451"/>
      <c r="V192" s="1454"/>
      <c r="W192" s="1457"/>
      <c r="X192" s="1457"/>
      <c r="Y192" s="1363">
        <v>15</v>
      </c>
      <c r="Z192" s="1359" t="s">
        <v>1110</v>
      </c>
      <c r="AA192" s="1460"/>
      <c r="AB192" s="1457"/>
      <c r="AC192" s="1474"/>
      <c r="AD192" s="1468"/>
      <c r="AE192" s="1360" t="s">
        <v>1328</v>
      </c>
      <c r="AF192" s="1460"/>
      <c r="AG192" s="1457"/>
      <c r="AH192" s="1457"/>
      <c r="AI192" s="1457"/>
      <c r="AJ192" s="1460"/>
      <c r="AK192" s="1454"/>
      <c r="AL192" s="1366">
        <v>15</v>
      </c>
      <c r="AM192" s="1366">
        <v>15</v>
      </c>
      <c r="AN192" s="507" t="s">
        <v>774</v>
      </c>
      <c r="AO192" s="183"/>
      <c r="AP192" s="183"/>
      <c r="AQ192" s="183">
        <f>SUM(AO192:AP192)</f>
        <v>0</v>
      </c>
      <c r="AR192" s="411"/>
      <c r="AS192" s="411"/>
      <c r="AT192" s="411">
        <f>+AS192+AR192</f>
        <v>0</v>
      </c>
      <c r="AU192" s="710"/>
      <c r="AV192" s="710"/>
      <c r="AW192" s="710">
        <f>SUM(AU192:AV192)</f>
        <v>0</v>
      </c>
      <c r="AX192" s="778"/>
      <c r="AY192" s="676">
        <v>0</v>
      </c>
      <c r="AZ192" s="672"/>
      <c r="BA192" s="676">
        <v>0</v>
      </c>
      <c r="BB192" s="672"/>
      <c r="BC192" s="676">
        <v>0</v>
      </c>
      <c r="BD192" s="1031">
        <v>40000000</v>
      </c>
      <c r="BE192" s="998"/>
      <c r="BF192" s="1031"/>
      <c r="BG192" s="1031">
        <f>SUM(BD192:BF192)</f>
        <v>40000000</v>
      </c>
      <c r="BH192" s="997">
        <v>32445424</v>
      </c>
      <c r="BI192" s="997">
        <f>+BH192/BG192*100</f>
        <v>81.113559999999993</v>
      </c>
      <c r="BJ192" s="1076">
        <v>16222712</v>
      </c>
      <c r="BK192" s="997">
        <f>+BJ192/BG192*100</f>
        <v>40.556779999999996</v>
      </c>
      <c r="BL192" s="1076">
        <v>16222712</v>
      </c>
      <c r="BM192" s="997">
        <f>+BL192/BG192*100</f>
        <v>40.556779999999996</v>
      </c>
      <c r="BN192" s="964">
        <v>40000000</v>
      </c>
      <c r="BO192" s="998"/>
      <c r="BP192" s="964"/>
      <c r="BQ192" s="964">
        <f>SUM(BN192:BP192)</f>
        <v>40000000</v>
      </c>
      <c r="BR192" s="964">
        <v>45000000</v>
      </c>
      <c r="BS192" s="998"/>
      <c r="BT192" s="964"/>
      <c r="BU192" s="964">
        <f>SUM(BR192:BT192)</f>
        <v>45000000</v>
      </c>
      <c r="BV192" s="964">
        <v>48000000</v>
      </c>
      <c r="BW192" s="964"/>
      <c r="BX192" s="964"/>
      <c r="BY192" s="964">
        <f>SUM(BV192:BX192)</f>
        <v>48000000</v>
      </c>
      <c r="BZ192" s="967">
        <f>+AW192+BG192+BU192+BY192</f>
        <v>133000000</v>
      </c>
      <c r="CA192" s="967">
        <f>+BH192+AX192</f>
        <v>32445424</v>
      </c>
      <c r="CB192" s="966">
        <f t="shared" si="103"/>
        <v>24.395055639097745</v>
      </c>
      <c r="CC192" s="910"/>
      <c r="CD192" s="1035"/>
      <c r="CE192" s="193"/>
      <c r="CF192" s="193"/>
      <c r="CG192" s="118"/>
      <c r="CH192" s="3"/>
      <c r="CI192" s="3"/>
      <c r="CJ192" s="3"/>
      <c r="CL192" s="183"/>
      <c r="CX192" s="911">
        <f t="shared" si="82"/>
        <v>0</v>
      </c>
      <c r="CY192" s="1008"/>
      <c r="DA192" s="1109"/>
    </row>
    <row r="193" spans="1:269" s="7" customFormat="1" ht="15" x14ac:dyDescent="0.2">
      <c r="A193" s="123"/>
      <c r="C193" s="4"/>
      <c r="D193" s="4"/>
      <c r="E193" s="4"/>
      <c r="F193" s="4"/>
      <c r="G193" s="4"/>
      <c r="H193" s="4"/>
      <c r="I193" s="4"/>
      <c r="J193" s="123"/>
      <c r="K193" s="123"/>
      <c r="L193" s="123"/>
      <c r="M193" s="123"/>
      <c r="N193" s="123"/>
      <c r="O193" s="123"/>
      <c r="P193" s="123"/>
      <c r="Q193" s="6"/>
      <c r="R193" s="6"/>
      <c r="S193" s="6"/>
      <c r="T193" s="6"/>
      <c r="U193" s="121"/>
      <c r="V193" s="1367"/>
      <c r="W193" s="44"/>
      <c r="X193" s="44"/>
      <c r="Y193" s="44">
        <f>+Y6+Y20+Y47+Y77+Y105+Y133+Y170+Y183</f>
        <v>91.252572004608297</v>
      </c>
      <c r="Z193" s="44"/>
      <c r="AA193" s="44">
        <f>+AA6+AA20+AA47+AA77+AA105+AA133+AA170+AA183</f>
        <v>44.114285851648354</v>
      </c>
      <c r="AB193" s="44"/>
      <c r="AC193" s="44"/>
      <c r="AD193" s="44">
        <f>+AD6+AD20+AD47+AD77+AD105+AD133+AD170+AD183</f>
        <v>25.726152943604919</v>
      </c>
      <c r="AE193" s="44"/>
      <c r="AF193" s="44">
        <f>+(AF6+AF20+AF47+AF77+AF105+AF133+AF170+AF183)/8</f>
        <v>47.737269031084658</v>
      </c>
      <c r="AG193" s="44"/>
      <c r="AH193" s="44"/>
      <c r="AI193" s="44"/>
      <c r="AJ193" s="44"/>
      <c r="AK193" s="1381">
        <f>(AK6+AK20+AK47+AK77+AK105+AK133+AK170+AK183)/8</f>
        <v>30.76898603452883</v>
      </c>
      <c r="AL193" s="44"/>
      <c r="AM193" s="44"/>
      <c r="AN193" s="44"/>
      <c r="AO193" s="263">
        <f>+AO6+AO47+AO20+AO77+AO170+AO105+AO183+AO133</f>
        <v>12051380006</v>
      </c>
      <c r="AP193" s="263">
        <f>+AP6+AP47+AP20+AP77+AP170+AP105+AP183+AP133</f>
        <v>0</v>
      </c>
      <c r="AQ193" s="263">
        <f>SUM(AO193:AP193)</f>
        <v>12051380006</v>
      </c>
      <c r="AR193" s="416">
        <f>+AR6+AR47+AR20+AR77+AR170+AR105+AR183+AR133</f>
        <v>28061408544.169998</v>
      </c>
      <c r="AS193" s="416"/>
      <c r="AT193" s="416">
        <f>+AT6+AT47+AT20+AT77+AT170+AT105+AT183+AT133</f>
        <v>28061408544.169998</v>
      </c>
      <c r="AU193" s="719">
        <f>+AU6+AU47+AU20+AU77+AU170+AU105+AU183+AU133</f>
        <v>24944473362.699997</v>
      </c>
      <c r="AV193" s="719">
        <f>+AV6+AV47+AV20+AV77+AV170+AV105+AV183+AV133</f>
        <v>1813317494</v>
      </c>
      <c r="AW193" s="719">
        <f>SUM(AU193:AV193)</f>
        <v>26757790856.699997</v>
      </c>
      <c r="AX193" s="782">
        <f>+AX6+AX47+AX20+AX77+AX170+AX105+AX183+AX133</f>
        <v>22573570819.400002</v>
      </c>
      <c r="AY193" s="671">
        <f>+AX193/AW193*100</f>
        <v>84.36261027785001</v>
      </c>
      <c r="AZ193" s="701">
        <f>+AZ6+AZ47+AZ20+AZ77+AZ170+AZ105+AZ183+AZ133</f>
        <v>12248680955</v>
      </c>
      <c r="BA193" s="701">
        <f>+AZ193/AW193*100</f>
        <v>45.776129354613744</v>
      </c>
      <c r="BB193" s="701">
        <f>+BB6+BB47+BB20+BB77+BB170+BB105+BB183+BB133</f>
        <v>11884642243</v>
      </c>
      <c r="BC193" s="701">
        <f>+BB193/AW193*100</f>
        <v>44.415633213696914</v>
      </c>
      <c r="BD193" s="991">
        <f>+BD6+BD47+BD20+BD77+BD170+BD105+BD183+BD133</f>
        <v>17346862961.362</v>
      </c>
      <c r="BE193" s="991">
        <f>+BE6+BE47+BE20+BE77+BE170+BE105+BE183+BE133</f>
        <v>0</v>
      </c>
      <c r="BF193" s="1025">
        <f>+BF6+BF47+BF20+BF77+BF170+BF105+BF183+BF133</f>
        <v>5400079301.4799995</v>
      </c>
      <c r="BG193" s="991">
        <f>SUM(BD193:BF193)</f>
        <v>22746942262.841999</v>
      </c>
      <c r="BH193" s="991">
        <f>+BH6+BH47+BH20+BH77+BH170+BH105+BH183+BH133</f>
        <v>7262641732</v>
      </c>
      <c r="BI193" s="991">
        <f>+BH193/BG193*100</f>
        <v>31.927991235392561</v>
      </c>
      <c r="BJ193" s="991">
        <f>+BJ6+BJ47+BJ20+BJ77+BJ170+BJ105+BJ183+BJ133</f>
        <v>2199781520</v>
      </c>
      <c r="BK193" s="991">
        <f>+BJ193/BG193*100</f>
        <v>9.6706691149140838</v>
      </c>
      <c r="BL193" s="991">
        <f>+BL6+BL47+BL20+BL77+BL170+BL105+BL183+BL133</f>
        <v>2199781520</v>
      </c>
      <c r="BM193" s="991">
        <f>+BL193/BG193*100</f>
        <v>9.6706691149140838</v>
      </c>
      <c r="BN193" s="991">
        <f>+BN6+BN47+BN20+BN77+BN170+BN105+BN183+BN133</f>
        <v>11733597260</v>
      </c>
      <c r="BO193" s="991">
        <f>+BO6+BO47+BO20+BO77+BO170+BO105+BO183+BO133</f>
        <v>1600000000</v>
      </c>
      <c r="BP193" s="991">
        <f>+BP6+BP47+BP20+BP77+BP170+BP105+BP183+BP133</f>
        <v>812000000</v>
      </c>
      <c r="BQ193" s="991">
        <f>SUM(BN193:BP193)</f>
        <v>14145597260</v>
      </c>
      <c r="BR193" s="991">
        <f>+BR6+BR47+BR20+BR77+BR170+BR105+BR183+BR133</f>
        <v>12315826071</v>
      </c>
      <c r="BS193" s="991">
        <f>+BS6+BS47+BS20+BS77+BS170+BS105+BS183+BS133</f>
        <v>1600000000</v>
      </c>
      <c r="BT193" s="991">
        <f>+BT6+BT47+BT20+BT77+BT170+BT105+BT183+BT133</f>
        <v>1800000000</v>
      </c>
      <c r="BU193" s="991">
        <f>SUM(BR193:BT193)</f>
        <v>15715826071</v>
      </c>
      <c r="BV193" s="991">
        <f>+BV6+BV47+BV20+BV77+BV170+BV105+BV183+BV133</f>
        <v>12855053768</v>
      </c>
      <c r="BW193" s="991">
        <f>+BW6+BW47+BW20+BW77+BW170+BW105+BW183+BW133</f>
        <v>1600000000</v>
      </c>
      <c r="BX193" s="991">
        <f>+BX6+BX47+BX20+BX77+BX170+BX105+BX183+BX133</f>
        <v>2000000000</v>
      </c>
      <c r="BY193" s="991">
        <f>SUM(BV193:BX193)</f>
        <v>16455053768</v>
      </c>
      <c r="BZ193" s="991">
        <f>+BZ6+BZ20+BZ47+BZ77+BZ105+BZ133+BZ170+BZ183</f>
        <v>81675612958.541992</v>
      </c>
      <c r="CA193" s="991">
        <f>+CA6+CA20+CA47+CA77+CA105+CA133+CA170+CA183</f>
        <v>29836212551.400002</v>
      </c>
      <c r="CB193" s="991">
        <f t="shared" si="103"/>
        <v>36.530136072005561</v>
      </c>
      <c r="CC193" s="701"/>
      <c r="CD193" s="701"/>
      <c r="CE193" s="198" t="e">
        <f>SUM(CE6:CE192)</f>
        <v>#REF!</v>
      </c>
      <c r="CF193" s="198">
        <f>SUM(CF6:CF192)</f>
        <v>81257982506.541992</v>
      </c>
      <c r="CG193" s="238"/>
      <c r="CI193" s="247"/>
      <c r="CL193" s="197"/>
      <c r="CX193" s="911">
        <f>+BD193-BN193</f>
        <v>5613265701.3619995</v>
      </c>
      <c r="CY193" s="1008"/>
      <c r="DA193" s="1131"/>
    </row>
    <row r="194" spans="1:269" s="920" customFormat="1" ht="15" hidden="1" x14ac:dyDescent="0.2">
      <c r="A194" s="933"/>
      <c r="B194" s="64"/>
      <c r="C194" s="64"/>
      <c r="D194" s="64"/>
      <c r="E194" s="64"/>
      <c r="F194" s="64"/>
      <c r="G194" s="64"/>
      <c r="H194" s="64"/>
      <c r="I194" s="64"/>
      <c r="J194" s="64"/>
      <c r="K194" s="64"/>
      <c r="L194" s="64"/>
      <c r="M194" s="64"/>
      <c r="N194" s="64"/>
      <c r="O194" s="64"/>
      <c r="P194" s="64"/>
      <c r="Q194" s="64"/>
      <c r="R194" s="64"/>
      <c r="S194" s="64"/>
      <c r="T194" s="64"/>
      <c r="U194" s="64"/>
      <c r="V194" s="64"/>
      <c r="W194" s="1094"/>
      <c r="X194" s="1095"/>
      <c r="Y194" s="1095"/>
      <c r="Z194" s="99"/>
      <c r="AA194" s="74"/>
      <c r="AB194" s="64"/>
      <c r="AC194" s="64"/>
      <c r="AD194" s="64"/>
      <c r="AE194" s="64"/>
      <c r="AF194" s="64"/>
      <c r="AG194" s="64"/>
      <c r="AH194" s="64"/>
      <c r="AI194" s="102"/>
      <c r="AJ194" s="906"/>
      <c r="AK194" s="102"/>
      <c r="AL194" s="915"/>
      <c r="AM194" s="915"/>
      <c r="AN194" s="114"/>
      <c r="AO194" s="528"/>
      <c r="AP194" s="528"/>
      <c r="AQ194" s="528" t="e">
        <f>SUM(#REF!)</f>
        <v>#REF!</v>
      </c>
      <c r="AR194" s="934"/>
      <c r="AS194" s="934"/>
      <c r="AT194" s="934"/>
      <c r="AU194" s="917">
        <v>24944473362.700001</v>
      </c>
      <c r="AV194" s="917">
        <v>1813317494</v>
      </c>
      <c r="AW194" s="917"/>
      <c r="AX194" s="918"/>
      <c r="AY194" s="934"/>
      <c r="AZ194" s="528"/>
      <c r="BA194" s="528"/>
      <c r="BB194" s="528"/>
      <c r="BC194" s="528"/>
      <c r="BD194" s="942">
        <v>17176073800.639999</v>
      </c>
      <c r="BE194" s="528"/>
      <c r="BF194" s="528"/>
      <c r="BG194" s="942">
        <v>17176073800.639999</v>
      </c>
      <c r="BH194" s="942">
        <v>3130764301</v>
      </c>
      <c r="BI194" s="528"/>
      <c r="BJ194" s="942">
        <v>457256243</v>
      </c>
      <c r="BK194" s="528"/>
      <c r="BL194" s="942">
        <v>457256243</v>
      </c>
      <c r="BM194" s="528"/>
      <c r="BN194" s="528"/>
      <c r="BO194" s="935"/>
      <c r="BP194" s="935"/>
      <c r="BQ194" s="528" t="e">
        <f>SUM(#REF!)</f>
        <v>#REF!</v>
      </c>
      <c r="BR194" s="528"/>
      <c r="BS194" s="935"/>
      <c r="BT194" s="528"/>
      <c r="BU194" s="528"/>
      <c r="BV194" s="528"/>
      <c r="BW194" s="935"/>
      <c r="BX194" s="528"/>
      <c r="BY194" s="528"/>
      <c r="BZ194" s="1002">
        <f>+AW193+BG193+BU193+BY193</f>
        <v>81675612958.541992</v>
      </c>
      <c r="CA194" s="917">
        <f>+AX193+BH193</f>
        <v>29836212551.400002</v>
      </c>
      <c r="CB194" s="528">
        <f t="shared" si="103"/>
        <v>36.530136072005561</v>
      </c>
      <c r="CC194" s="936"/>
      <c r="CD194" s="936"/>
      <c r="CE194" s="528"/>
      <c r="CF194" s="528"/>
      <c r="CG194" s="529"/>
      <c r="CH194" s="64"/>
      <c r="CI194" s="1431"/>
      <c r="CJ194" s="1431"/>
      <c r="CK194" s="1431"/>
      <c r="CL194" s="1431"/>
      <c r="CM194" s="1431"/>
      <c r="CN194" s="64"/>
      <c r="CO194" s="64"/>
      <c r="CP194" s="64"/>
      <c r="CQ194" s="64"/>
      <c r="CR194" s="64"/>
      <c r="CS194" s="64"/>
      <c r="CT194" s="64"/>
      <c r="CU194" s="64"/>
      <c r="CV194" s="64"/>
      <c r="CW194" s="64"/>
      <c r="CX194" s="64"/>
      <c r="CY194" s="1011"/>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c r="FC194" s="64"/>
      <c r="FD194" s="64"/>
      <c r="FE194" s="64"/>
      <c r="FF194" s="64"/>
      <c r="FG194" s="64"/>
      <c r="FH194" s="64"/>
      <c r="FI194" s="64"/>
      <c r="FJ194" s="64"/>
      <c r="FK194" s="64"/>
      <c r="FL194" s="64"/>
      <c r="FM194" s="64"/>
      <c r="FN194" s="64"/>
      <c r="FO194" s="64"/>
      <c r="FP194" s="64"/>
      <c r="FQ194" s="64"/>
      <c r="FR194" s="64"/>
      <c r="FS194" s="64"/>
      <c r="FT194" s="64"/>
      <c r="FU194" s="64"/>
      <c r="FV194" s="64"/>
      <c r="FW194" s="64"/>
      <c r="FX194" s="64"/>
      <c r="FY194" s="64"/>
      <c r="FZ194" s="64"/>
      <c r="GA194" s="64"/>
      <c r="GB194" s="64"/>
      <c r="GC194" s="64"/>
      <c r="GD194" s="64"/>
      <c r="GE194" s="64"/>
      <c r="GF194" s="64"/>
      <c r="GG194" s="64"/>
      <c r="GH194" s="64"/>
      <c r="GI194" s="64"/>
      <c r="GJ194" s="64"/>
      <c r="GK194" s="64"/>
      <c r="GL194" s="64"/>
      <c r="GM194" s="64"/>
      <c r="GN194" s="64"/>
      <c r="GO194" s="64"/>
      <c r="GP194" s="64"/>
      <c r="GQ194" s="64"/>
      <c r="GR194" s="64"/>
      <c r="GS194" s="64"/>
      <c r="GT194" s="64"/>
      <c r="GU194" s="64"/>
      <c r="GV194" s="64"/>
      <c r="GW194" s="64"/>
      <c r="GX194" s="64"/>
      <c r="GY194" s="64"/>
      <c r="GZ194" s="64"/>
      <c r="HA194" s="64"/>
      <c r="HB194" s="64"/>
      <c r="HC194" s="64"/>
      <c r="HD194" s="64"/>
      <c r="HE194" s="64"/>
      <c r="HF194" s="64"/>
      <c r="HG194" s="64"/>
      <c r="HH194" s="64"/>
      <c r="HI194" s="64"/>
      <c r="HJ194" s="64"/>
      <c r="HK194" s="64"/>
      <c r="HL194" s="64"/>
      <c r="HM194" s="64"/>
      <c r="HN194" s="64"/>
      <c r="HO194" s="64"/>
      <c r="HP194" s="64"/>
      <c r="HQ194" s="64"/>
      <c r="HR194" s="64"/>
      <c r="HS194" s="64"/>
      <c r="HT194" s="64"/>
      <c r="HU194" s="64"/>
      <c r="HV194" s="64"/>
      <c r="HW194" s="64"/>
      <c r="HX194" s="64"/>
      <c r="HY194" s="64"/>
      <c r="HZ194" s="64"/>
      <c r="IA194" s="64"/>
      <c r="IB194" s="64"/>
      <c r="IC194" s="64"/>
      <c r="ID194" s="64"/>
      <c r="IE194" s="64"/>
      <c r="IF194" s="64"/>
      <c r="IG194" s="64"/>
      <c r="IH194" s="64"/>
      <c r="II194" s="64"/>
      <c r="IJ194" s="64"/>
      <c r="IK194" s="64"/>
      <c r="IL194" s="64"/>
      <c r="IM194" s="64"/>
      <c r="IN194" s="64"/>
      <c r="IO194" s="64"/>
      <c r="IP194" s="64"/>
      <c r="IQ194" s="64"/>
      <c r="IR194" s="64"/>
      <c r="IS194" s="64"/>
      <c r="IT194" s="64"/>
      <c r="IU194" s="64"/>
      <c r="IV194" s="64"/>
      <c r="IW194" s="64"/>
      <c r="IX194" s="64"/>
      <c r="IY194" s="64"/>
      <c r="IZ194" s="64"/>
      <c r="JA194" s="64"/>
      <c r="JB194" s="64"/>
      <c r="JC194" s="64"/>
      <c r="JD194" s="64"/>
      <c r="JE194" s="64"/>
      <c r="JF194" s="64"/>
      <c r="JG194" s="64"/>
      <c r="JH194" s="64"/>
      <c r="JI194" s="64"/>
    </row>
    <row r="195" spans="1:269" s="920" customFormat="1" hidden="1" x14ac:dyDescent="0.2">
      <c r="A195" s="933"/>
      <c r="B195" s="64"/>
      <c r="C195" s="64"/>
      <c r="D195" s="64"/>
      <c r="E195" s="64"/>
      <c r="F195" s="64"/>
      <c r="G195" s="64"/>
      <c r="H195" s="64"/>
      <c r="I195" s="64"/>
      <c r="J195" s="64"/>
      <c r="K195" s="64"/>
      <c r="L195" s="64"/>
      <c r="M195" s="64"/>
      <c r="N195" s="64"/>
      <c r="O195" s="64"/>
      <c r="P195" s="64"/>
      <c r="Q195" s="64"/>
      <c r="R195" s="64"/>
      <c r="S195" s="64"/>
      <c r="T195" s="64"/>
      <c r="U195" s="64"/>
      <c r="V195" s="64"/>
      <c r="W195" s="1094"/>
      <c r="X195" s="1095"/>
      <c r="Y195" s="1095"/>
      <c r="Z195" s="937"/>
      <c r="AA195" s="74"/>
      <c r="AB195" s="64"/>
      <c r="AC195" s="64"/>
      <c r="AD195" s="64"/>
      <c r="AE195" s="64"/>
      <c r="AF195" s="64"/>
      <c r="AG195" s="64"/>
      <c r="AH195" s="64"/>
      <c r="AI195" s="102"/>
      <c r="AJ195" s="906"/>
      <c r="AK195" s="102"/>
      <c r="AL195" s="915"/>
      <c r="AM195" s="915"/>
      <c r="AN195" s="114"/>
      <c r="AO195" s="64"/>
      <c r="AP195" s="64"/>
      <c r="AQ195" s="64"/>
      <c r="AR195" s="916"/>
      <c r="AS195" s="916"/>
      <c r="AT195" s="916"/>
      <c r="AU195" s="917">
        <f>+AU193-AU194</f>
        <v>0</v>
      </c>
      <c r="AV195" s="917">
        <f>+AV193-AV194</f>
        <v>0</v>
      </c>
      <c r="AW195" s="917"/>
      <c r="AX195" s="918">
        <v>22573570819.400002</v>
      </c>
      <c r="AY195" s="916"/>
      <c r="AZ195" s="64">
        <v>12248680955</v>
      </c>
      <c r="BA195" s="64"/>
      <c r="BB195" s="64">
        <v>11884642243</v>
      </c>
      <c r="BC195" s="64"/>
      <c r="BD195" s="943">
        <f>+BD193-BD194</f>
        <v>170789160.72200012</v>
      </c>
      <c r="BE195" s="64"/>
      <c r="BF195" s="64"/>
      <c r="BG195" s="943">
        <f>+BG193-BG194</f>
        <v>5570868462.2019997</v>
      </c>
      <c r="BH195" s="943">
        <f>+BH193-BH194</f>
        <v>4131877431</v>
      </c>
      <c r="BI195" s="64"/>
      <c r="BJ195" s="943">
        <f>+BJ193-BJ194</f>
        <v>1742525277</v>
      </c>
      <c r="BK195" s="64"/>
      <c r="BL195" s="943">
        <f>+BL193-BL194</f>
        <v>1742525277</v>
      </c>
      <c r="BM195" s="64"/>
      <c r="BN195" s="637" t="e">
        <f>+#REF!+#REF!+#REF!</f>
        <v>#REF!</v>
      </c>
      <c r="BO195" s="64"/>
      <c r="BP195" s="938"/>
      <c r="BQ195" s="64"/>
      <c r="BR195" s="637"/>
      <c r="BS195" s="64"/>
      <c r="BT195" s="938"/>
      <c r="BU195" s="64"/>
      <c r="BV195" s="64"/>
      <c r="BW195" s="64"/>
      <c r="BX195" s="545"/>
      <c r="BY195" s="64"/>
      <c r="BZ195" s="943">
        <f>+BZ193-BZ194</f>
        <v>0</v>
      </c>
      <c r="CA195" s="917">
        <f>+CA194-CA193</f>
        <v>0</v>
      </c>
      <c r="CB195" s="64"/>
      <c r="CC195" s="919"/>
      <c r="CD195" s="919"/>
      <c r="CE195" s="64"/>
      <c r="CF195" s="528"/>
      <c r="CG195" s="529"/>
      <c r="CH195" s="64"/>
      <c r="CI195" s="64"/>
      <c r="CJ195" s="64"/>
      <c r="CK195" s="64"/>
      <c r="CL195" s="64"/>
      <c r="CM195" s="64"/>
      <c r="CN195" s="64"/>
      <c r="CO195" s="64"/>
      <c r="CP195" s="64"/>
      <c r="CQ195" s="64"/>
      <c r="CR195" s="64"/>
      <c r="CS195" s="64"/>
      <c r="CT195" s="64"/>
      <c r="CU195" s="64"/>
      <c r="CV195" s="64"/>
      <c r="CW195" s="64"/>
      <c r="CX195" s="64"/>
      <c r="CY195" s="1011"/>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c r="FC195" s="64"/>
      <c r="FD195" s="64"/>
      <c r="FE195" s="64"/>
      <c r="FF195" s="64"/>
      <c r="FG195" s="64"/>
      <c r="FH195" s="64"/>
      <c r="FI195" s="64"/>
      <c r="FJ195" s="64"/>
      <c r="FK195" s="64"/>
      <c r="FL195" s="64"/>
      <c r="FM195" s="64"/>
      <c r="FN195" s="64"/>
      <c r="FO195" s="64"/>
      <c r="FP195" s="64"/>
      <c r="FQ195" s="64"/>
      <c r="FR195" s="64"/>
      <c r="FS195" s="64"/>
      <c r="FT195" s="64"/>
      <c r="FU195" s="64"/>
      <c r="FV195" s="64"/>
      <c r="FW195" s="64"/>
      <c r="FX195" s="64"/>
      <c r="FY195" s="64"/>
      <c r="FZ195" s="64"/>
      <c r="GA195" s="64"/>
      <c r="GB195" s="64"/>
      <c r="GC195" s="64"/>
      <c r="GD195" s="64"/>
      <c r="GE195" s="64"/>
      <c r="GF195" s="64"/>
      <c r="GG195" s="64"/>
      <c r="GH195" s="64"/>
      <c r="GI195" s="64"/>
      <c r="GJ195" s="64"/>
      <c r="GK195" s="64"/>
      <c r="GL195" s="64"/>
      <c r="GM195" s="64"/>
      <c r="GN195" s="64"/>
      <c r="GO195" s="64"/>
      <c r="GP195" s="64"/>
      <c r="GQ195" s="64"/>
      <c r="GR195" s="64"/>
      <c r="GS195" s="64"/>
      <c r="GT195" s="64"/>
      <c r="GU195" s="64"/>
      <c r="GV195" s="64"/>
      <c r="GW195" s="64"/>
      <c r="GX195" s="64"/>
      <c r="GY195" s="64"/>
      <c r="GZ195" s="64"/>
      <c r="HA195" s="64"/>
      <c r="HB195" s="64"/>
      <c r="HC195" s="64"/>
      <c r="HD195" s="64"/>
      <c r="HE195" s="64"/>
      <c r="HF195" s="64"/>
      <c r="HG195" s="64"/>
      <c r="HH195" s="64"/>
      <c r="HI195" s="64"/>
      <c r="HJ195" s="64"/>
      <c r="HK195" s="64"/>
      <c r="HL195" s="64"/>
      <c r="HM195" s="64"/>
      <c r="HN195" s="64"/>
      <c r="HO195" s="64"/>
      <c r="HP195" s="64"/>
      <c r="HQ195" s="64"/>
      <c r="HR195" s="64"/>
      <c r="HS195" s="64"/>
      <c r="HT195" s="64"/>
      <c r="HU195" s="64"/>
      <c r="HV195" s="64"/>
      <c r="HW195" s="64"/>
      <c r="HX195" s="64"/>
      <c r="HY195" s="64"/>
      <c r="HZ195" s="64"/>
      <c r="IA195" s="64"/>
      <c r="IB195" s="64"/>
      <c r="IC195" s="64"/>
      <c r="ID195" s="64"/>
      <c r="IE195" s="64"/>
      <c r="IF195" s="64"/>
      <c r="IG195" s="64"/>
      <c r="IH195" s="64"/>
      <c r="II195" s="64"/>
      <c r="IJ195" s="64"/>
      <c r="IK195" s="64"/>
      <c r="IL195" s="64"/>
      <c r="IM195" s="64"/>
      <c r="IN195" s="64"/>
      <c r="IO195" s="64"/>
      <c r="IP195" s="64"/>
      <c r="IQ195" s="64"/>
      <c r="IR195" s="64"/>
      <c r="IS195" s="64"/>
      <c r="IT195" s="64"/>
      <c r="IU195" s="64"/>
      <c r="IV195" s="64"/>
      <c r="IW195" s="64"/>
      <c r="IX195" s="64"/>
      <c r="IY195" s="64"/>
      <c r="IZ195" s="64"/>
      <c r="JA195" s="64"/>
      <c r="JB195" s="64"/>
      <c r="JC195" s="64"/>
      <c r="JD195" s="64"/>
      <c r="JE195" s="64"/>
      <c r="JF195" s="64"/>
      <c r="JG195" s="64"/>
      <c r="JH195" s="64"/>
      <c r="JI195" s="64"/>
    </row>
    <row r="196" spans="1:269" s="920" customFormat="1" hidden="1" x14ac:dyDescent="0.2">
      <c r="A196" s="116"/>
      <c r="B196" s="64"/>
      <c r="C196" s="64"/>
      <c r="D196" s="64"/>
      <c r="E196" s="64"/>
      <c r="F196" s="64"/>
      <c r="G196" s="64"/>
      <c r="H196" s="64"/>
      <c r="I196" s="64"/>
      <c r="J196" s="116"/>
      <c r="K196" s="116"/>
      <c r="L196" s="116"/>
      <c r="M196" s="116"/>
      <c r="N196" s="116"/>
      <c r="O196" s="116"/>
      <c r="P196" s="116"/>
      <c r="Q196" s="102"/>
      <c r="R196" s="102"/>
      <c r="S196" s="102"/>
      <c r="T196" s="102"/>
      <c r="U196" s="913"/>
      <c r="V196" s="1469" t="s">
        <v>1123</v>
      </c>
      <c r="W196" s="1470"/>
      <c r="X196" s="1471"/>
      <c r="Y196" s="1096">
        <v>89.232224967013266</v>
      </c>
      <c r="Z196" s="914"/>
      <c r="AA196" s="102"/>
      <c r="AB196" s="102"/>
      <c r="AC196" s="102"/>
      <c r="AD196" s="102"/>
      <c r="AE196" s="102"/>
      <c r="AF196" s="102"/>
      <c r="AG196" s="102"/>
      <c r="AH196" s="102"/>
      <c r="AI196" s="102"/>
      <c r="AJ196" s="906"/>
      <c r="AK196" s="102"/>
      <c r="AL196" s="915"/>
      <c r="AM196" s="915"/>
      <c r="AN196" s="114"/>
      <c r="AO196" s="64"/>
      <c r="AP196" s="64"/>
      <c r="AQ196" s="64"/>
      <c r="AR196" s="916"/>
      <c r="AS196" s="916"/>
      <c r="AT196" s="916"/>
      <c r="AU196" s="917">
        <v>26757790856.700001</v>
      </c>
      <c r="AV196" s="917"/>
      <c r="AW196" s="917"/>
      <c r="AX196" s="918"/>
      <c r="AY196" s="916"/>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917"/>
      <c r="CA196" s="917"/>
      <c r="CB196" s="64"/>
      <c r="CC196" s="919"/>
      <c r="CD196" s="919"/>
      <c r="CE196" s="64"/>
      <c r="CF196" s="528"/>
      <c r="CG196" s="529"/>
      <c r="CH196" s="64"/>
      <c r="CI196" s="64"/>
      <c r="CJ196" s="64"/>
      <c r="CK196" s="64"/>
      <c r="CL196" s="64"/>
      <c r="CM196" s="64"/>
      <c r="CN196" s="64"/>
      <c r="CO196" s="64"/>
      <c r="CP196" s="64"/>
      <c r="CQ196" s="64"/>
      <c r="CR196" s="64"/>
      <c r="CS196" s="64"/>
      <c r="CT196" s="64"/>
      <c r="CU196" s="64"/>
      <c r="CV196" s="64"/>
      <c r="CW196" s="64"/>
      <c r="CX196" s="64"/>
      <c r="CY196" s="1011"/>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c r="FC196" s="64"/>
      <c r="FD196" s="64"/>
      <c r="FE196" s="64"/>
      <c r="FF196" s="64"/>
      <c r="FG196" s="64"/>
      <c r="FH196" s="64"/>
      <c r="FI196" s="64"/>
      <c r="FJ196" s="64"/>
      <c r="FK196" s="64"/>
      <c r="FL196" s="64"/>
      <c r="FM196" s="64"/>
      <c r="FN196" s="64"/>
      <c r="FO196" s="64"/>
      <c r="FP196" s="64"/>
      <c r="FQ196" s="64"/>
      <c r="FR196" s="64"/>
      <c r="FS196" s="64"/>
      <c r="FT196" s="64"/>
      <c r="FU196" s="64"/>
      <c r="FV196" s="64"/>
      <c r="FW196" s="64"/>
      <c r="FX196" s="64"/>
      <c r="FY196" s="64"/>
      <c r="FZ196" s="64"/>
      <c r="GA196" s="64"/>
      <c r="GB196" s="64"/>
      <c r="GC196" s="64"/>
      <c r="GD196" s="64"/>
      <c r="GE196" s="64"/>
      <c r="GF196" s="64"/>
      <c r="GG196" s="64"/>
      <c r="GH196" s="64"/>
      <c r="GI196" s="64"/>
      <c r="GJ196" s="64"/>
      <c r="GK196" s="64"/>
      <c r="GL196" s="64"/>
      <c r="GM196" s="64"/>
      <c r="GN196" s="64"/>
      <c r="GO196" s="64"/>
      <c r="GP196" s="64"/>
      <c r="GQ196" s="64"/>
      <c r="GR196" s="64"/>
      <c r="GS196" s="64"/>
      <c r="GT196" s="64"/>
      <c r="GU196" s="64"/>
      <c r="GV196" s="64"/>
      <c r="GW196" s="64"/>
      <c r="GX196" s="64"/>
      <c r="GY196" s="64"/>
      <c r="GZ196" s="64"/>
      <c r="HA196" s="64"/>
      <c r="HB196" s="64"/>
      <c r="HC196" s="64"/>
      <c r="HD196" s="64"/>
      <c r="HE196" s="64"/>
      <c r="HF196" s="64"/>
      <c r="HG196" s="64"/>
      <c r="HH196" s="64"/>
      <c r="HI196" s="64"/>
      <c r="HJ196" s="64"/>
      <c r="HK196" s="64"/>
      <c r="HL196" s="64"/>
      <c r="HM196" s="64"/>
      <c r="HN196" s="64"/>
      <c r="HO196" s="64"/>
      <c r="HP196" s="64"/>
      <c r="HQ196" s="64"/>
      <c r="HR196" s="64"/>
      <c r="HS196" s="64"/>
      <c r="HT196" s="64"/>
      <c r="HU196" s="64"/>
      <c r="HV196" s="64"/>
      <c r="HW196" s="64"/>
      <c r="HX196" s="64"/>
      <c r="HY196" s="64"/>
      <c r="HZ196" s="64"/>
      <c r="IA196" s="64"/>
      <c r="IB196" s="64"/>
      <c r="IC196" s="64"/>
      <c r="ID196" s="64"/>
      <c r="IE196" s="64"/>
      <c r="IF196" s="64"/>
      <c r="IG196" s="64"/>
      <c r="IH196" s="64"/>
      <c r="II196" s="64"/>
      <c r="IJ196" s="64"/>
      <c r="IK196" s="64"/>
      <c r="IL196" s="64"/>
      <c r="IM196" s="64"/>
      <c r="IN196" s="64"/>
      <c r="IO196" s="64"/>
      <c r="IP196" s="64"/>
      <c r="IQ196" s="64"/>
      <c r="IR196" s="64"/>
      <c r="IS196" s="64"/>
      <c r="IT196" s="64"/>
      <c r="IU196" s="64"/>
      <c r="IV196" s="64"/>
      <c r="IW196" s="64"/>
      <c r="IX196" s="64"/>
      <c r="IY196" s="64"/>
      <c r="IZ196" s="64"/>
      <c r="JA196" s="64"/>
      <c r="JB196" s="64"/>
      <c r="JC196" s="64"/>
      <c r="JD196" s="64"/>
      <c r="JE196" s="64"/>
      <c r="JF196" s="64"/>
      <c r="JG196" s="64"/>
      <c r="JH196" s="64"/>
      <c r="JI196" s="64"/>
    </row>
    <row r="197" spans="1:269" s="920" customFormat="1" ht="15.75" hidden="1" x14ac:dyDescent="0.2">
      <c r="A197" s="116"/>
      <c r="B197" s="64"/>
      <c r="C197" s="64"/>
      <c r="D197" s="64"/>
      <c r="E197" s="64"/>
      <c r="F197" s="64"/>
      <c r="G197" s="64"/>
      <c r="H197" s="64"/>
      <c r="I197" s="64"/>
      <c r="J197" s="116"/>
      <c r="K197" s="116"/>
      <c r="L197" s="116"/>
      <c r="M197" s="116"/>
      <c r="N197" s="116"/>
      <c r="O197" s="116"/>
      <c r="P197" s="939"/>
      <c r="Q197" s="102"/>
      <c r="R197" s="102"/>
      <c r="S197" s="102"/>
      <c r="T197" s="102"/>
      <c r="U197" s="913"/>
      <c r="V197" s="114"/>
      <c r="W197" s="805"/>
      <c r="X197" s="805"/>
      <c r="Y197" s="805"/>
      <c r="Z197" s="914"/>
      <c r="AA197" s="102"/>
      <c r="AB197" s="102"/>
      <c r="AC197" s="102"/>
      <c r="AD197" s="102"/>
      <c r="AE197" s="102"/>
      <c r="AF197" s="102"/>
      <c r="AG197" s="102"/>
      <c r="AH197" s="102"/>
      <c r="AI197" s="102"/>
      <c r="AJ197" s="906"/>
      <c r="AK197" s="102"/>
      <c r="AL197" s="915"/>
      <c r="AM197" s="915"/>
      <c r="AN197" s="114"/>
      <c r="AO197" s="64"/>
      <c r="AP197" s="64"/>
      <c r="AQ197" s="64"/>
      <c r="AR197" s="916"/>
      <c r="AS197" s="916"/>
      <c r="AT197" s="916"/>
      <c r="AU197" s="917">
        <f>+AU193-AU196</f>
        <v>-1813317494.0000038</v>
      </c>
      <c r="AV197" s="917"/>
      <c r="AW197" s="917"/>
      <c r="AX197" s="918">
        <f>+AX193-AX195</f>
        <v>0</v>
      </c>
      <c r="AY197" s="916"/>
      <c r="AZ197" s="916">
        <f>+AZ193-AZ195</f>
        <v>0</v>
      </c>
      <c r="BA197" s="64"/>
      <c r="BB197" s="916">
        <f>+BB193-BB195</f>
        <v>0</v>
      </c>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940"/>
      <c r="CA197" s="917"/>
      <c r="CB197" s="64"/>
      <c r="CC197" s="919"/>
      <c r="CD197" s="919"/>
      <c r="CE197" s="64"/>
      <c r="CF197" s="528"/>
      <c r="CG197" s="529"/>
      <c r="CH197" s="64"/>
      <c r="CI197" s="64"/>
      <c r="CJ197" s="64"/>
      <c r="CK197" s="64"/>
      <c r="CL197" s="64"/>
      <c r="CM197" s="64"/>
      <c r="CN197" s="64"/>
      <c r="CO197" s="64"/>
      <c r="CP197" s="64"/>
      <c r="CQ197" s="64"/>
      <c r="CR197" s="64"/>
      <c r="CS197" s="64"/>
      <c r="CT197" s="64"/>
      <c r="CU197" s="64"/>
      <c r="CV197" s="64"/>
      <c r="CW197" s="64"/>
      <c r="CX197" s="64"/>
      <c r="CY197" s="1011"/>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c r="FC197" s="64"/>
      <c r="FD197" s="64"/>
      <c r="FE197" s="64"/>
      <c r="FF197" s="64"/>
      <c r="FG197" s="64"/>
      <c r="FH197" s="64"/>
      <c r="FI197" s="64"/>
      <c r="FJ197" s="64"/>
      <c r="FK197" s="64"/>
      <c r="FL197" s="64"/>
      <c r="FM197" s="64"/>
      <c r="FN197" s="64"/>
      <c r="FO197" s="64"/>
      <c r="FP197" s="64"/>
      <c r="FQ197" s="64"/>
      <c r="FR197" s="64"/>
      <c r="FS197" s="64"/>
      <c r="FT197" s="64"/>
      <c r="FU197" s="64"/>
      <c r="FV197" s="64"/>
      <c r="FW197" s="64"/>
      <c r="FX197" s="64"/>
      <c r="FY197" s="64"/>
      <c r="FZ197" s="64"/>
      <c r="GA197" s="64"/>
      <c r="GB197" s="64"/>
      <c r="GC197" s="64"/>
      <c r="GD197" s="64"/>
      <c r="GE197" s="64"/>
      <c r="GF197" s="64"/>
      <c r="GG197" s="64"/>
      <c r="GH197" s="64"/>
      <c r="GI197" s="64"/>
      <c r="GJ197" s="64"/>
      <c r="GK197" s="64"/>
      <c r="GL197" s="64"/>
      <c r="GM197" s="64"/>
      <c r="GN197" s="64"/>
      <c r="GO197" s="64"/>
      <c r="GP197" s="64"/>
      <c r="GQ197" s="64"/>
      <c r="GR197" s="64"/>
      <c r="GS197" s="64"/>
      <c r="GT197" s="64"/>
      <c r="GU197" s="64"/>
      <c r="GV197" s="64"/>
      <c r="GW197" s="64"/>
      <c r="GX197" s="64"/>
      <c r="GY197" s="64"/>
      <c r="GZ197" s="64"/>
      <c r="HA197" s="64"/>
      <c r="HB197" s="64"/>
      <c r="HC197" s="64"/>
      <c r="HD197" s="64"/>
      <c r="HE197" s="64"/>
      <c r="HF197" s="64"/>
      <c r="HG197" s="64"/>
      <c r="HH197" s="64"/>
      <c r="HI197" s="64"/>
      <c r="HJ197" s="64"/>
      <c r="HK197" s="64"/>
      <c r="HL197" s="64"/>
      <c r="HM197" s="64"/>
      <c r="HN197" s="64"/>
      <c r="HO197" s="64"/>
      <c r="HP197" s="64"/>
      <c r="HQ197" s="64"/>
      <c r="HR197" s="64"/>
      <c r="HS197" s="64"/>
      <c r="HT197" s="64"/>
      <c r="HU197" s="64"/>
      <c r="HV197" s="64"/>
      <c r="HW197" s="64"/>
      <c r="HX197" s="64"/>
      <c r="HY197" s="64"/>
      <c r="HZ197" s="64"/>
      <c r="IA197" s="64"/>
      <c r="IB197" s="64"/>
      <c r="IC197" s="64"/>
      <c r="ID197" s="64"/>
      <c r="IE197" s="64"/>
      <c r="IF197" s="64"/>
      <c r="IG197" s="64"/>
      <c r="IH197" s="64"/>
      <c r="II197" s="64"/>
      <c r="IJ197" s="64"/>
      <c r="IK197" s="64"/>
      <c r="IL197" s="64"/>
      <c r="IM197" s="64"/>
      <c r="IN197" s="64"/>
      <c r="IO197" s="64"/>
      <c r="IP197" s="64"/>
      <c r="IQ197" s="64"/>
      <c r="IR197" s="64"/>
      <c r="IS197" s="64"/>
      <c r="IT197" s="64"/>
      <c r="IU197" s="64"/>
      <c r="IV197" s="64"/>
      <c r="IW197" s="64"/>
      <c r="IX197" s="64"/>
      <c r="IY197" s="64"/>
      <c r="IZ197" s="64"/>
      <c r="JA197" s="64"/>
      <c r="JB197" s="64"/>
      <c r="JC197" s="64"/>
      <c r="JD197" s="64"/>
      <c r="JE197" s="64"/>
      <c r="JF197" s="64"/>
      <c r="JG197" s="64"/>
      <c r="JH197" s="64"/>
      <c r="JI197" s="64"/>
    </row>
    <row r="198" spans="1:269" s="920" customFormat="1" ht="14.25" hidden="1" x14ac:dyDescent="0.2">
      <c r="A198" s="64"/>
      <c r="B198" s="64"/>
      <c r="C198" s="64"/>
      <c r="D198" s="64"/>
      <c r="E198" s="64"/>
      <c r="F198" s="64"/>
      <c r="G198" s="64"/>
      <c r="H198" s="64"/>
      <c r="I198" s="64"/>
      <c r="J198" s="1441"/>
      <c r="K198" s="1441"/>
      <c r="L198" s="1441"/>
      <c r="M198" s="1441"/>
      <c r="N198" s="1441"/>
      <c r="O198" s="1441"/>
      <c r="P198" s="1441"/>
      <c r="Q198" s="1441"/>
      <c r="R198" s="1441"/>
      <c r="S198" s="1441"/>
      <c r="T198" s="1441"/>
      <c r="U198" s="1441"/>
      <c r="V198" s="1441"/>
      <c r="W198" s="805"/>
      <c r="X198" s="805"/>
      <c r="Y198" s="805"/>
      <c r="Z198" s="914"/>
      <c r="AA198" s="102"/>
      <c r="AB198" s="102"/>
      <c r="AC198" s="102"/>
      <c r="AD198" s="102"/>
      <c r="AE198" s="102"/>
      <c r="AF198" s="102"/>
      <c r="AG198" s="102"/>
      <c r="AH198" s="102"/>
      <c r="AI198" s="102"/>
      <c r="AJ198" s="906"/>
      <c r="AK198" s="102"/>
      <c r="AL198" s="915"/>
      <c r="AM198" s="915"/>
      <c r="AN198" s="114"/>
      <c r="AO198" s="64"/>
      <c r="AP198" s="64"/>
      <c r="AQ198" s="64"/>
      <c r="AR198" s="916"/>
      <c r="AS198" s="916"/>
      <c r="AT198" s="916"/>
      <c r="AU198" s="917"/>
      <c r="AV198" s="917"/>
      <c r="AW198" s="917"/>
      <c r="AX198" s="918"/>
      <c r="AY198" s="916"/>
      <c r="AZ198" s="1075">
        <v>12248680955</v>
      </c>
      <c r="BA198" s="64"/>
      <c r="BB198" s="701">
        <v>11884642243</v>
      </c>
      <c r="BC198" s="64"/>
      <c r="BD198" s="64"/>
      <c r="BE198" s="64"/>
      <c r="BF198" s="64"/>
      <c r="BG198" s="1005">
        <v>22746942262.84</v>
      </c>
      <c r="BH198" s="1006">
        <v>7262641732</v>
      </c>
      <c r="BI198" s="64"/>
      <c r="BJ198" s="1006">
        <v>2199781520</v>
      </c>
      <c r="BK198" s="64"/>
      <c r="BL198" s="1006">
        <v>2199781520</v>
      </c>
      <c r="BM198" s="64"/>
      <c r="BN198" s="637"/>
      <c r="BO198" s="64"/>
      <c r="BP198" s="64"/>
      <c r="BQ198" s="64"/>
      <c r="BR198" s="64"/>
      <c r="BS198" s="64"/>
      <c r="BT198" s="64"/>
      <c r="BU198" s="64"/>
      <c r="BV198" s="64"/>
      <c r="BW198" s="64"/>
      <c r="BX198" s="64"/>
      <c r="BY198" s="64"/>
      <c r="BZ198" s="940"/>
      <c r="CA198" s="940"/>
      <c r="CB198" s="64"/>
      <c r="CC198" s="919"/>
      <c r="CD198" s="919"/>
      <c r="CE198" s="64"/>
      <c r="CF198" s="528"/>
      <c r="CG198" s="529"/>
      <c r="CH198" s="64"/>
      <c r="CI198" s="64"/>
      <c r="CJ198" s="64"/>
      <c r="CK198" s="64"/>
      <c r="CL198" s="64"/>
      <c r="CM198" s="64"/>
      <c r="CN198" s="64"/>
      <c r="CO198" s="64"/>
      <c r="CP198" s="64"/>
      <c r="CQ198" s="64"/>
      <c r="CR198" s="64"/>
      <c r="CS198" s="64"/>
      <c r="CT198" s="64"/>
      <c r="CU198" s="64"/>
      <c r="CV198" s="64"/>
      <c r="CW198" s="64"/>
      <c r="CX198" s="64"/>
      <c r="CY198" s="1011">
        <f>SUM(CY8:CY192)</f>
        <v>0</v>
      </c>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c r="FC198" s="64"/>
      <c r="FD198" s="64"/>
      <c r="FE198" s="64"/>
      <c r="FF198" s="64"/>
      <c r="FG198" s="64"/>
      <c r="FH198" s="64"/>
      <c r="FI198" s="64"/>
      <c r="FJ198" s="64"/>
      <c r="FK198" s="64"/>
      <c r="FL198" s="64"/>
      <c r="FM198" s="64"/>
      <c r="FN198" s="64"/>
      <c r="FO198" s="64"/>
      <c r="FP198" s="64"/>
      <c r="FQ198" s="64"/>
      <c r="FR198" s="64"/>
      <c r="FS198" s="64"/>
      <c r="FT198" s="64"/>
      <c r="FU198" s="64"/>
      <c r="FV198" s="64"/>
      <c r="FW198" s="64"/>
      <c r="FX198" s="64"/>
      <c r="FY198" s="64"/>
      <c r="FZ198" s="64"/>
      <c r="GA198" s="64"/>
      <c r="GB198" s="64"/>
      <c r="GC198" s="64"/>
      <c r="GD198" s="64"/>
      <c r="GE198" s="64"/>
      <c r="GF198" s="64"/>
      <c r="GG198" s="64"/>
      <c r="GH198" s="64"/>
      <c r="GI198" s="64"/>
      <c r="GJ198" s="64"/>
      <c r="GK198" s="64"/>
      <c r="GL198" s="64"/>
      <c r="GM198" s="64"/>
      <c r="GN198" s="64"/>
      <c r="GO198" s="64"/>
      <c r="GP198" s="64"/>
      <c r="GQ198" s="64"/>
      <c r="GR198" s="64"/>
      <c r="GS198" s="64"/>
      <c r="GT198" s="64"/>
      <c r="GU198" s="64"/>
      <c r="GV198" s="64"/>
      <c r="GW198" s="64"/>
      <c r="GX198" s="64"/>
      <c r="GY198" s="64"/>
      <c r="GZ198" s="64"/>
      <c r="HA198" s="64"/>
      <c r="HB198" s="64"/>
      <c r="HC198" s="64"/>
      <c r="HD198" s="64"/>
      <c r="HE198" s="64"/>
      <c r="HF198" s="64"/>
      <c r="HG198" s="64"/>
      <c r="HH198" s="64"/>
      <c r="HI198" s="64"/>
      <c r="HJ198" s="64"/>
      <c r="HK198" s="64"/>
      <c r="HL198" s="64"/>
      <c r="HM198" s="64"/>
      <c r="HN198" s="64"/>
      <c r="HO198" s="64"/>
      <c r="HP198" s="64"/>
      <c r="HQ198" s="64"/>
      <c r="HR198" s="64"/>
      <c r="HS198" s="64"/>
      <c r="HT198" s="64"/>
      <c r="HU198" s="64"/>
      <c r="HV198" s="64"/>
      <c r="HW198" s="64"/>
      <c r="HX198" s="64"/>
      <c r="HY198" s="64"/>
      <c r="HZ198" s="64"/>
      <c r="IA198" s="64"/>
      <c r="IB198" s="64"/>
      <c r="IC198" s="64"/>
      <c r="ID198" s="64"/>
      <c r="IE198" s="64"/>
      <c r="IF198" s="64"/>
      <c r="IG198" s="64"/>
      <c r="IH198" s="64"/>
      <c r="II198" s="64"/>
      <c r="IJ198" s="64"/>
      <c r="IK198" s="64"/>
      <c r="IL198" s="64"/>
      <c r="IM198" s="64"/>
      <c r="IN198" s="64"/>
      <c r="IO198" s="64"/>
      <c r="IP198" s="64"/>
      <c r="IQ198" s="64"/>
      <c r="IR198" s="64"/>
      <c r="IS198" s="64"/>
      <c r="IT198" s="64"/>
      <c r="IU198" s="64"/>
      <c r="IV198" s="64"/>
      <c r="IW198" s="64"/>
      <c r="IX198" s="64"/>
      <c r="IY198" s="64"/>
      <c r="IZ198" s="64"/>
      <c r="JA198" s="64"/>
      <c r="JB198" s="64"/>
      <c r="JC198" s="64"/>
      <c r="JD198" s="64"/>
      <c r="JE198" s="64"/>
      <c r="JF198" s="64"/>
      <c r="JG198" s="64"/>
      <c r="JH198" s="64"/>
      <c r="JI198" s="64"/>
    </row>
    <row r="199" spans="1:269" s="920" customFormat="1" hidden="1" x14ac:dyDescent="0.2">
      <c r="A199" s="116"/>
      <c r="B199" s="64"/>
      <c r="C199" s="64"/>
      <c r="D199" s="64"/>
      <c r="E199" s="64"/>
      <c r="F199" s="64"/>
      <c r="G199" s="64"/>
      <c r="H199" s="64"/>
      <c r="I199" s="64"/>
      <c r="J199" s="116"/>
      <c r="K199" s="116"/>
      <c r="L199" s="116"/>
      <c r="M199" s="116"/>
      <c r="N199" s="116"/>
      <c r="O199" s="116"/>
      <c r="P199" s="116"/>
      <c r="Q199" s="102"/>
      <c r="R199" s="102"/>
      <c r="S199" s="102"/>
      <c r="T199" s="102"/>
      <c r="U199" s="913"/>
      <c r="V199" s="114"/>
      <c r="W199" s="805"/>
      <c r="X199" s="805"/>
      <c r="Y199" s="805"/>
      <c r="Z199" s="914"/>
      <c r="AA199" s="102"/>
      <c r="AB199" s="102"/>
      <c r="AC199" s="102"/>
      <c r="AD199" s="102"/>
      <c r="AE199" s="102"/>
      <c r="AF199" s="102"/>
      <c r="AG199" s="102"/>
      <c r="AH199" s="102"/>
      <c r="AI199" s="102"/>
      <c r="AJ199" s="906"/>
      <c r="AK199" s="102"/>
      <c r="AL199" s="915"/>
      <c r="AM199" s="915"/>
      <c r="AN199" s="114"/>
      <c r="AO199" s="64"/>
      <c r="AP199" s="64"/>
      <c r="AQ199" s="64"/>
      <c r="AR199" s="916"/>
      <c r="AS199" s="916"/>
      <c r="AT199" s="916"/>
      <c r="AU199" s="917"/>
      <c r="AV199" s="917"/>
      <c r="AW199" s="917"/>
      <c r="AX199" s="918"/>
      <c r="AY199" s="916"/>
      <c r="AZ199" s="637">
        <f>+AZ198-AZ193</f>
        <v>0</v>
      </c>
      <c r="BA199" s="64"/>
      <c r="BB199" s="637">
        <f>+BB198-BB193</f>
        <v>0</v>
      </c>
      <c r="BC199" s="64"/>
      <c r="BD199" s="64"/>
      <c r="BE199" s="64"/>
      <c r="BF199" s="64"/>
      <c r="BG199" s="943">
        <f t="shared" ref="BG199:BL199" si="104">+BG193-BG198</f>
        <v>1.9989013671875E-3</v>
      </c>
      <c r="BH199" s="943">
        <f t="shared" si="104"/>
        <v>0</v>
      </c>
      <c r="BI199" s="943">
        <f t="shared" si="104"/>
        <v>31.927991235392561</v>
      </c>
      <c r="BJ199" s="943">
        <f t="shared" si="104"/>
        <v>0</v>
      </c>
      <c r="BK199" s="943">
        <f t="shared" si="104"/>
        <v>9.6706691149140838</v>
      </c>
      <c r="BL199" s="943">
        <f t="shared" si="104"/>
        <v>0</v>
      </c>
      <c r="BM199" s="64"/>
      <c r="BN199" s="64"/>
      <c r="BO199" s="64"/>
      <c r="BP199" s="64"/>
      <c r="BQ199" s="64"/>
      <c r="BR199" s="64"/>
      <c r="BS199" s="64"/>
      <c r="BT199" s="64"/>
      <c r="BU199" s="64"/>
      <c r="BV199" s="64"/>
      <c r="BW199" s="64"/>
      <c r="BX199" s="64"/>
      <c r="BY199" s="64"/>
      <c r="BZ199" s="917"/>
      <c r="CA199" s="917"/>
      <c r="CB199" s="64"/>
      <c r="CC199" s="919"/>
      <c r="CD199" s="919"/>
      <c r="CE199" s="64"/>
      <c r="CF199" s="528"/>
      <c r="CG199" s="529"/>
      <c r="CH199" s="64"/>
      <c r="CI199" s="64"/>
      <c r="CJ199" s="64"/>
      <c r="CK199" s="64"/>
      <c r="CL199" s="64"/>
      <c r="CM199" s="64"/>
      <c r="CN199" s="64"/>
      <c r="CO199" s="64"/>
      <c r="CP199" s="64"/>
      <c r="CQ199" s="64"/>
      <c r="CR199" s="64"/>
      <c r="CS199" s="64"/>
      <c r="CT199" s="64"/>
      <c r="CU199" s="64"/>
      <c r="CV199" s="64"/>
      <c r="CW199" s="64"/>
      <c r="CX199" s="64"/>
      <c r="CY199" s="1006">
        <v>6225593082.1999998</v>
      </c>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c r="FC199" s="64"/>
      <c r="FD199" s="64"/>
      <c r="FE199" s="64"/>
      <c r="FF199" s="64"/>
      <c r="FG199" s="64"/>
      <c r="FH199" s="64"/>
      <c r="FI199" s="64"/>
      <c r="FJ199" s="64"/>
      <c r="FK199" s="64"/>
      <c r="FL199" s="64"/>
      <c r="FM199" s="64"/>
      <c r="FN199" s="64"/>
      <c r="FO199" s="64"/>
      <c r="FP199" s="64"/>
      <c r="FQ199" s="64"/>
      <c r="FR199" s="64"/>
      <c r="FS199" s="64"/>
      <c r="FT199" s="64"/>
      <c r="FU199" s="64"/>
      <c r="FV199" s="64"/>
      <c r="FW199" s="64"/>
      <c r="FX199" s="64"/>
      <c r="FY199" s="64"/>
      <c r="FZ199" s="64"/>
      <c r="GA199" s="64"/>
      <c r="GB199" s="64"/>
      <c r="GC199" s="64"/>
      <c r="GD199" s="64"/>
      <c r="GE199" s="64"/>
      <c r="GF199" s="64"/>
      <c r="GG199" s="64"/>
      <c r="GH199" s="64"/>
      <c r="GI199" s="64"/>
      <c r="GJ199" s="64"/>
      <c r="GK199" s="64"/>
      <c r="GL199" s="64"/>
      <c r="GM199" s="64"/>
      <c r="GN199" s="64"/>
      <c r="GO199" s="64"/>
      <c r="GP199" s="64"/>
      <c r="GQ199" s="64"/>
      <c r="GR199" s="64"/>
      <c r="GS199" s="64"/>
      <c r="GT199" s="64"/>
      <c r="GU199" s="64"/>
      <c r="GV199" s="64"/>
      <c r="GW199" s="64"/>
      <c r="GX199" s="64"/>
      <c r="GY199" s="64"/>
      <c r="GZ199" s="64"/>
      <c r="HA199" s="64"/>
      <c r="HB199" s="64"/>
      <c r="HC199" s="64"/>
      <c r="HD199" s="64"/>
      <c r="HE199" s="64"/>
      <c r="HF199" s="64"/>
      <c r="HG199" s="64"/>
      <c r="HH199" s="64"/>
      <c r="HI199" s="64"/>
      <c r="HJ199" s="64"/>
      <c r="HK199" s="64"/>
      <c r="HL199" s="64"/>
      <c r="HM199" s="64"/>
      <c r="HN199" s="64"/>
      <c r="HO199" s="64"/>
      <c r="HP199" s="64"/>
      <c r="HQ199" s="64"/>
      <c r="HR199" s="64"/>
      <c r="HS199" s="64"/>
      <c r="HT199" s="64"/>
      <c r="HU199" s="64"/>
      <c r="HV199" s="64"/>
      <c r="HW199" s="64"/>
      <c r="HX199" s="64"/>
      <c r="HY199" s="64"/>
      <c r="HZ199" s="64"/>
      <c r="IA199" s="64"/>
      <c r="IB199" s="64"/>
      <c r="IC199" s="64"/>
      <c r="ID199" s="64"/>
      <c r="IE199" s="64"/>
      <c r="IF199" s="64"/>
      <c r="IG199" s="64"/>
      <c r="IH199" s="64"/>
      <c r="II199" s="64"/>
      <c r="IJ199" s="64"/>
      <c r="IK199" s="64"/>
      <c r="IL199" s="64"/>
      <c r="IM199" s="64"/>
      <c r="IN199" s="64"/>
      <c r="IO199" s="64"/>
      <c r="IP199" s="64"/>
      <c r="IQ199" s="64"/>
      <c r="IR199" s="64"/>
      <c r="IS199" s="64"/>
      <c r="IT199" s="64"/>
      <c r="IU199" s="64"/>
      <c r="IV199" s="64"/>
      <c r="IW199" s="64"/>
      <c r="IX199" s="64"/>
      <c r="IY199" s="64"/>
      <c r="IZ199" s="64"/>
      <c r="JA199" s="64"/>
      <c r="JB199" s="64"/>
      <c r="JC199" s="64"/>
      <c r="JD199" s="64"/>
      <c r="JE199" s="64"/>
      <c r="JF199" s="64"/>
      <c r="JG199" s="64"/>
      <c r="JH199" s="64"/>
      <c r="JI199" s="64"/>
    </row>
    <row r="200" spans="1:269" s="920" customFormat="1" hidden="1" x14ac:dyDescent="0.2">
      <c r="A200" s="116"/>
      <c r="B200" s="64"/>
      <c r="C200" s="64"/>
      <c r="D200" s="64"/>
      <c r="E200" s="64"/>
      <c r="F200" s="64"/>
      <c r="G200" s="64"/>
      <c r="H200" s="64"/>
      <c r="I200" s="64"/>
      <c r="J200" s="116"/>
      <c r="K200" s="116"/>
      <c r="L200" s="116"/>
      <c r="M200" s="116"/>
      <c r="N200" s="116"/>
      <c r="O200" s="116"/>
      <c r="P200" s="116"/>
      <c r="Q200" s="102"/>
      <c r="R200" s="102"/>
      <c r="S200" s="102"/>
      <c r="T200" s="102"/>
      <c r="U200" s="913"/>
      <c r="V200" s="114"/>
      <c r="W200" s="805"/>
      <c r="X200" s="805"/>
      <c r="Y200" s="805"/>
      <c r="Z200" s="914"/>
      <c r="AA200" s="102"/>
      <c r="AB200" s="102"/>
      <c r="AC200" s="102"/>
      <c r="AD200" s="102"/>
      <c r="AE200" s="102"/>
      <c r="AF200" s="102"/>
      <c r="AG200" s="102"/>
      <c r="AH200" s="102"/>
      <c r="AI200" s="102"/>
      <c r="AJ200" s="906"/>
      <c r="AK200" s="102"/>
      <c r="AL200" s="915"/>
      <c r="AM200" s="915"/>
      <c r="AN200" s="114"/>
      <c r="AO200" s="64"/>
      <c r="AP200" s="64"/>
      <c r="AQ200" s="64"/>
      <c r="AR200" s="916"/>
      <c r="AS200" s="916"/>
      <c r="AT200" s="916"/>
      <c r="AU200" s="917"/>
      <c r="AV200" s="917"/>
      <c r="AW200" s="917"/>
      <c r="AX200" s="918"/>
      <c r="AY200" s="916"/>
      <c r="AZ200" s="64"/>
      <c r="BA200" s="64"/>
      <c r="BB200" s="64"/>
      <c r="BC200" s="64"/>
      <c r="BD200" s="64">
        <v>17346862961.360001</v>
      </c>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917"/>
      <c r="CA200" s="917"/>
      <c r="CB200" s="64"/>
      <c r="CC200" s="919"/>
      <c r="CD200" s="919"/>
      <c r="CE200" s="64"/>
      <c r="CF200" s="528"/>
      <c r="CG200" s="529"/>
      <c r="CH200" s="64"/>
      <c r="CI200" s="64"/>
      <c r="CJ200" s="64"/>
      <c r="CK200" s="64"/>
      <c r="CL200" s="64"/>
      <c r="CM200" s="64"/>
      <c r="CN200" s="64"/>
      <c r="CO200" s="64"/>
      <c r="CP200" s="64"/>
      <c r="CQ200" s="64"/>
      <c r="CR200" s="64"/>
      <c r="CS200" s="64"/>
      <c r="CT200" s="64"/>
      <c r="CU200" s="64"/>
      <c r="CV200" s="64"/>
      <c r="CW200" s="64"/>
      <c r="CX200" s="64"/>
      <c r="CY200" s="1011">
        <f>+CY198-CY199</f>
        <v>-6225593082.1999998</v>
      </c>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c r="FC200" s="64"/>
      <c r="FD200" s="64"/>
      <c r="FE200" s="64"/>
      <c r="FF200" s="64"/>
      <c r="FG200" s="64"/>
      <c r="FH200" s="64"/>
      <c r="FI200" s="64"/>
      <c r="FJ200" s="64"/>
      <c r="FK200" s="64"/>
      <c r="FL200" s="64"/>
      <c r="FM200" s="64"/>
      <c r="FN200" s="64"/>
      <c r="FO200" s="64"/>
      <c r="FP200" s="64"/>
      <c r="FQ200" s="64"/>
      <c r="FR200" s="64"/>
      <c r="FS200" s="64"/>
      <c r="FT200" s="64"/>
      <c r="FU200" s="64"/>
      <c r="FV200" s="64"/>
      <c r="FW200" s="64"/>
      <c r="FX200" s="64"/>
      <c r="FY200" s="64"/>
      <c r="FZ200" s="64"/>
      <c r="GA200" s="64"/>
      <c r="GB200" s="64"/>
      <c r="GC200" s="64"/>
      <c r="GD200" s="64"/>
      <c r="GE200" s="64"/>
      <c r="GF200" s="64"/>
      <c r="GG200" s="64"/>
      <c r="GH200" s="64"/>
      <c r="GI200" s="64"/>
      <c r="GJ200" s="64"/>
      <c r="GK200" s="64"/>
      <c r="GL200" s="64"/>
      <c r="GM200" s="64"/>
      <c r="GN200" s="64"/>
      <c r="GO200" s="64"/>
      <c r="GP200" s="64"/>
      <c r="GQ200" s="64"/>
      <c r="GR200" s="64"/>
      <c r="GS200" s="64"/>
      <c r="GT200" s="64"/>
      <c r="GU200" s="64"/>
      <c r="GV200" s="64"/>
      <c r="GW200" s="64"/>
      <c r="GX200" s="64"/>
      <c r="GY200" s="64"/>
      <c r="GZ200" s="64"/>
      <c r="HA200" s="64"/>
      <c r="HB200" s="64"/>
      <c r="HC200" s="64"/>
      <c r="HD200" s="64"/>
      <c r="HE200" s="64"/>
      <c r="HF200" s="64"/>
      <c r="HG200" s="64"/>
      <c r="HH200" s="64"/>
      <c r="HI200" s="64"/>
      <c r="HJ200" s="64"/>
      <c r="HK200" s="64"/>
      <c r="HL200" s="64"/>
      <c r="HM200" s="64"/>
      <c r="HN200" s="64"/>
      <c r="HO200" s="64"/>
      <c r="HP200" s="64"/>
      <c r="HQ200" s="64"/>
      <c r="HR200" s="64"/>
      <c r="HS200" s="64"/>
      <c r="HT200" s="64"/>
      <c r="HU200" s="64"/>
      <c r="HV200" s="64"/>
      <c r="HW200" s="64"/>
      <c r="HX200" s="64"/>
      <c r="HY200" s="64"/>
      <c r="HZ200" s="64"/>
      <c r="IA200" s="64"/>
      <c r="IB200" s="64"/>
      <c r="IC200" s="64"/>
      <c r="ID200" s="64"/>
      <c r="IE200" s="64"/>
      <c r="IF200" s="64"/>
      <c r="IG200" s="64"/>
      <c r="IH200" s="64"/>
      <c r="II200" s="64"/>
      <c r="IJ200" s="64"/>
      <c r="IK200" s="64"/>
      <c r="IL200" s="64"/>
      <c r="IM200" s="64"/>
      <c r="IN200" s="64"/>
      <c r="IO200" s="64"/>
      <c r="IP200" s="64"/>
      <c r="IQ200" s="64"/>
      <c r="IR200" s="64"/>
      <c r="IS200" s="64"/>
      <c r="IT200" s="64"/>
      <c r="IU200" s="64"/>
      <c r="IV200" s="64"/>
      <c r="IW200" s="64"/>
      <c r="IX200" s="64"/>
      <c r="IY200" s="64"/>
      <c r="IZ200" s="64"/>
      <c r="JA200" s="64"/>
      <c r="JB200" s="64"/>
      <c r="JC200" s="64"/>
      <c r="JD200" s="64"/>
      <c r="JE200" s="64"/>
      <c r="JF200" s="64"/>
      <c r="JG200" s="64"/>
      <c r="JH200" s="64"/>
      <c r="JI200" s="64"/>
    </row>
    <row r="201" spans="1:269" s="920" customFormat="1" hidden="1" x14ac:dyDescent="0.2">
      <c r="A201" s="116"/>
      <c r="B201" s="64"/>
      <c r="C201" s="64"/>
      <c r="D201" s="64"/>
      <c r="E201" s="64"/>
      <c r="F201" s="64"/>
      <c r="G201" s="64"/>
      <c r="H201" s="64"/>
      <c r="I201" s="64"/>
      <c r="J201" s="116"/>
      <c r="K201" s="116"/>
      <c r="L201" s="116"/>
      <c r="M201" s="116"/>
      <c r="N201" s="116"/>
      <c r="O201" s="116"/>
      <c r="P201" s="116"/>
      <c r="Q201" s="102"/>
      <c r="R201" s="102"/>
      <c r="S201" s="102"/>
      <c r="T201" s="102"/>
      <c r="U201" s="913"/>
      <c r="V201" s="114"/>
      <c r="W201" s="805"/>
      <c r="X201" s="805"/>
      <c r="Y201" s="805"/>
      <c r="Z201" s="914"/>
      <c r="AA201" s="102"/>
      <c r="AB201" s="102"/>
      <c r="AC201" s="102"/>
      <c r="AD201" s="102"/>
      <c r="AE201" s="102"/>
      <c r="AF201" s="102"/>
      <c r="AG201" s="102"/>
      <c r="AH201" s="102"/>
      <c r="AI201" s="102"/>
      <c r="AJ201" s="906"/>
      <c r="AK201" s="102"/>
      <c r="AL201" s="915"/>
      <c r="AM201" s="915"/>
      <c r="AN201" s="114"/>
      <c r="AO201" s="64"/>
      <c r="AP201" s="64"/>
      <c r="AQ201" s="64"/>
      <c r="AR201" s="916"/>
      <c r="AS201" s="916"/>
      <c r="AT201" s="916"/>
      <c r="AU201" s="917" t="s">
        <v>153</v>
      </c>
      <c r="AV201" s="917"/>
      <c r="AW201" s="917"/>
      <c r="AX201" s="918"/>
      <c r="AY201" s="916"/>
      <c r="AZ201" s="64"/>
      <c r="BA201" s="64"/>
      <c r="BB201" s="64"/>
      <c r="BC201" s="64"/>
      <c r="BD201" s="74">
        <f>+BD193-BD200</f>
        <v>1.9989013671875E-3</v>
      </c>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917"/>
      <c r="CA201" s="917"/>
      <c r="CB201" s="64"/>
      <c r="CC201" s="919"/>
      <c r="CD201" s="919"/>
      <c r="CE201" s="64"/>
      <c r="CF201" s="528"/>
      <c r="CG201" s="529"/>
      <c r="CH201" s="64"/>
      <c r="CI201" s="64"/>
      <c r="CJ201" s="64"/>
      <c r="CK201" s="64"/>
      <c r="CL201" s="64"/>
      <c r="CM201" s="64"/>
      <c r="CN201" s="64"/>
      <c r="CO201" s="64"/>
      <c r="CP201" s="64"/>
      <c r="CQ201" s="64"/>
      <c r="CR201" s="64"/>
      <c r="CS201" s="64"/>
      <c r="CT201" s="64"/>
      <c r="CU201" s="64"/>
      <c r="CV201" s="64"/>
      <c r="CW201" s="64"/>
      <c r="CX201" s="64"/>
      <c r="CY201" s="1011"/>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c r="FC201" s="64"/>
      <c r="FD201" s="64"/>
      <c r="FE201" s="64"/>
      <c r="FF201" s="64"/>
      <c r="FG201" s="64"/>
      <c r="FH201" s="64"/>
      <c r="FI201" s="64"/>
      <c r="FJ201" s="64"/>
      <c r="FK201" s="64"/>
      <c r="FL201" s="64"/>
      <c r="FM201" s="64"/>
      <c r="FN201" s="64"/>
      <c r="FO201" s="64"/>
      <c r="FP201" s="64"/>
      <c r="FQ201" s="64"/>
      <c r="FR201" s="64"/>
      <c r="FS201" s="64"/>
      <c r="FT201" s="64"/>
      <c r="FU201" s="64"/>
      <c r="FV201" s="64"/>
      <c r="FW201" s="64"/>
      <c r="FX201" s="64"/>
      <c r="FY201" s="64"/>
      <c r="FZ201" s="64"/>
      <c r="GA201" s="64"/>
      <c r="GB201" s="64"/>
      <c r="GC201" s="64"/>
      <c r="GD201" s="64"/>
      <c r="GE201" s="64"/>
      <c r="GF201" s="64"/>
      <c r="GG201" s="64"/>
      <c r="GH201" s="64"/>
      <c r="GI201" s="64"/>
      <c r="GJ201" s="64"/>
      <c r="GK201" s="64"/>
      <c r="GL201" s="64"/>
      <c r="GM201" s="64"/>
      <c r="GN201" s="64"/>
      <c r="GO201" s="64"/>
      <c r="GP201" s="64"/>
      <c r="GQ201" s="64"/>
      <c r="GR201" s="64"/>
      <c r="GS201" s="64"/>
      <c r="GT201" s="64"/>
      <c r="GU201" s="64"/>
      <c r="GV201" s="64"/>
      <c r="GW201" s="64"/>
      <c r="GX201" s="64"/>
      <c r="GY201" s="64"/>
      <c r="GZ201" s="64"/>
      <c r="HA201" s="64"/>
      <c r="HB201" s="64"/>
      <c r="HC201" s="64"/>
      <c r="HD201" s="64"/>
      <c r="HE201" s="64"/>
      <c r="HF201" s="64"/>
      <c r="HG201" s="64"/>
      <c r="HH201" s="64"/>
      <c r="HI201" s="64"/>
      <c r="HJ201" s="64"/>
      <c r="HK201" s="64"/>
      <c r="HL201" s="64"/>
      <c r="HM201" s="64"/>
      <c r="HN201" s="64"/>
      <c r="HO201" s="64"/>
      <c r="HP201" s="64"/>
      <c r="HQ201" s="64"/>
      <c r="HR201" s="64"/>
      <c r="HS201" s="64"/>
      <c r="HT201" s="64"/>
      <c r="HU201" s="64"/>
      <c r="HV201" s="64"/>
      <c r="HW201" s="64"/>
      <c r="HX201" s="64"/>
      <c r="HY201" s="64"/>
      <c r="HZ201" s="64"/>
      <c r="IA201" s="64"/>
      <c r="IB201" s="64"/>
      <c r="IC201" s="64"/>
      <c r="ID201" s="64"/>
      <c r="IE201" s="64"/>
      <c r="IF201" s="64"/>
      <c r="IG201" s="64"/>
      <c r="IH201" s="64"/>
      <c r="II201" s="64"/>
      <c r="IJ201" s="64"/>
      <c r="IK201" s="64"/>
      <c r="IL201" s="64"/>
      <c r="IM201" s="64"/>
      <c r="IN201" s="64"/>
      <c r="IO201" s="64"/>
      <c r="IP201" s="64"/>
      <c r="IQ201" s="64"/>
      <c r="IR201" s="64"/>
      <c r="IS201" s="64"/>
      <c r="IT201" s="64"/>
      <c r="IU201" s="64"/>
      <c r="IV201" s="64"/>
      <c r="IW201" s="64"/>
      <c r="IX201" s="64"/>
      <c r="IY201" s="64"/>
      <c r="IZ201" s="64"/>
      <c r="JA201" s="64"/>
      <c r="JB201" s="64"/>
      <c r="JC201" s="64"/>
      <c r="JD201" s="64"/>
      <c r="JE201" s="64"/>
      <c r="JF201" s="64"/>
      <c r="JG201" s="64"/>
      <c r="JH201" s="64"/>
      <c r="JI201" s="64"/>
    </row>
    <row r="202" spans="1:269" s="920" customFormat="1" hidden="1" x14ac:dyDescent="0.2">
      <c r="A202" s="116"/>
      <c r="B202" s="64"/>
      <c r="C202" s="64"/>
      <c r="D202" s="64"/>
      <c r="E202" s="64"/>
      <c r="F202" s="64"/>
      <c r="G202" s="64"/>
      <c r="H202" s="64"/>
      <c r="I202" s="64"/>
      <c r="J202" s="116"/>
      <c r="K202" s="116"/>
      <c r="L202" s="116"/>
      <c r="M202" s="116"/>
      <c r="N202" s="116"/>
      <c r="O202" s="116"/>
      <c r="P202" s="116"/>
      <c r="Q202" s="102"/>
      <c r="R202" s="102"/>
      <c r="S202" s="102"/>
      <c r="T202" s="102"/>
      <c r="U202" s="913"/>
      <c r="V202" s="114"/>
      <c r="W202" s="805"/>
      <c r="X202" s="805"/>
      <c r="Y202" s="805"/>
      <c r="Z202" s="914"/>
      <c r="AA202" s="102"/>
      <c r="AB202" s="102"/>
      <c r="AC202" s="102"/>
      <c r="AD202" s="102"/>
      <c r="AE202" s="102"/>
      <c r="AF202" s="102"/>
      <c r="AG202" s="102"/>
      <c r="AH202" s="102"/>
      <c r="AI202" s="102"/>
      <c r="AJ202" s="906"/>
      <c r="AK202" s="102"/>
      <c r="AL202" s="915"/>
      <c r="AM202" s="915"/>
      <c r="AN202" s="114"/>
      <c r="AO202" s="64"/>
      <c r="AP202" s="64"/>
      <c r="AQ202" s="64"/>
      <c r="AR202" s="916"/>
      <c r="AS202" s="916"/>
      <c r="AT202" s="916"/>
      <c r="AU202" s="917"/>
      <c r="AV202" s="917"/>
      <c r="AW202" s="917"/>
      <c r="AX202" s="918"/>
      <c r="AY202" s="916"/>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917"/>
      <c r="CA202" s="917"/>
      <c r="CB202" s="64"/>
      <c r="CC202" s="919"/>
      <c r="CD202" s="919"/>
      <c r="CE202" s="64"/>
      <c r="CF202" s="528"/>
      <c r="CG202" s="529"/>
      <c r="CH202" s="64"/>
      <c r="CI202" s="64"/>
      <c r="CJ202" s="64"/>
      <c r="CK202" s="64"/>
      <c r="CL202" s="64"/>
      <c r="CM202" s="64"/>
      <c r="CN202" s="64"/>
      <c r="CO202" s="64"/>
      <c r="CP202" s="64"/>
      <c r="CQ202" s="64"/>
      <c r="CR202" s="64"/>
      <c r="CS202" s="64"/>
      <c r="CT202" s="64"/>
      <c r="CU202" s="64"/>
      <c r="CV202" s="64"/>
      <c r="CW202" s="64"/>
      <c r="CX202" s="64"/>
      <c r="CY202" s="1011"/>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c r="FC202" s="64"/>
      <c r="FD202" s="64"/>
      <c r="FE202" s="64"/>
      <c r="FF202" s="64"/>
      <c r="FG202" s="64"/>
      <c r="FH202" s="64"/>
      <c r="FI202" s="64"/>
      <c r="FJ202" s="64"/>
      <c r="FK202" s="64"/>
      <c r="FL202" s="64"/>
      <c r="FM202" s="64"/>
      <c r="FN202" s="64"/>
      <c r="FO202" s="64"/>
      <c r="FP202" s="64"/>
      <c r="FQ202" s="64"/>
      <c r="FR202" s="64"/>
      <c r="FS202" s="64"/>
      <c r="FT202" s="64"/>
      <c r="FU202" s="64"/>
      <c r="FV202" s="64"/>
      <c r="FW202" s="64"/>
      <c r="FX202" s="64"/>
      <c r="FY202" s="64"/>
      <c r="FZ202" s="64"/>
      <c r="GA202" s="64"/>
      <c r="GB202" s="64"/>
      <c r="GC202" s="64"/>
      <c r="GD202" s="64"/>
      <c r="GE202" s="64"/>
      <c r="GF202" s="64"/>
      <c r="GG202" s="64"/>
      <c r="GH202" s="64"/>
      <c r="GI202" s="64"/>
      <c r="GJ202" s="64"/>
      <c r="GK202" s="64"/>
      <c r="GL202" s="64"/>
      <c r="GM202" s="64"/>
      <c r="GN202" s="64"/>
      <c r="GO202" s="64"/>
      <c r="GP202" s="64"/>
      <c r="GQ202" s="64"/>
      <c r="GR202" s="64"/>
      <c r="GS202" s="64"/>
      <c r="GT202" s="64"/>
      <c r="GU202" s="64"/>
      <c r="GV202" s="64"/>
      <c r="GW202" s="64"/>
      <c r="GX202" s="64"/>
      <c r="GY202" s="64"/>
      <c r="GZ202" s="64"/>
      <c r="HA202" s="64"/>
      <c r="HB202" s="64"/>
      <c r="HC202" s="64"/>
      <c r="HD202" s="64"/>
      <c r="HE202" s="64"/>
      <c r="HF202" s="64"/>
      <c r="HG202" s="64"/>
      <c r="HH202" s="64"/>
      <c r="HI202" s="64"/>
      <c r="HJ202" s="64"/>
      <c r="HK202" s="64"/>
      <c r="HL202" s="64"/>
      <c r="HM202" s="64"/>
      <c r="HN202" s="64"/>
      <c r="HO202" s="64"/>
      <c r="HP202" s="64"/>
      <c r="HQ202" s="64"/>
      <c r="HR202" s="64"/>
      <c r="HS202" s="64"/>
      <c r="HT202" s="64"/>
      <c r="HU202" s="64"/>
      <c r="HV202" s="64"/>
      <c r="HW202" s="64"/>
      <c r="HX202" s="64"/>
      <c r="HY202" s="64"/>
      <c r="HZ202" s="64"/>
      <c r="IA202" s="64"/>
      <c r="IB202" s="64"/>
      <c r="IC202" s="64"/>
      <c r="ID202" s="64"/>
      <c r="IE202" s="64"/>
      <c r="IF202" s="64"/>
      <c r="IG202" s="64"/>
      <c r="IH202" s="64"/>
      <c r="II202" s="64"/>
      <c r="IJ202" s="64"/>
      <c r="IK202" s="64"/>
      <c r="IL202" s="64"/>
      <c r="IM202" s="64"/>
      <c r="IN202" s="64"/>
      <c r="IO202" s="64"/>
      <c r="IP202" s="64"/>
      <c r="IQ202" s="64"/>
      <c r="IR202" s="64"/>
      <c r="IS202" s="64"/>
      <c r="IT202" s="64"/>
      <c r="IU202" s="64"/>
      <c r="IV202" s="64"/>
      <c r="IW202" s="64"/>
      <c r="IX202" s="64"/>
      <c r="IY202" s="64"/>
      <c r="IZ202" s="64"/>
      <c r="JA202" s="64"/>
      <c r="JB202" s="64"/>
      <c r="JC202" s="64"/>
      <c r="JD202" s="64"/>
      <c r="JE202" s="64"/>
      <c r="JF202" s="64"/>
      <c r="JG202" s="64"/>
      <c r="JH202" s="64"/>
      <c r="JI202" s="64"/>
    </row>
    <row r="203" spans="1:269" s="920" customFormat="1" x14ac:dyDescent="0.2">
      <c r="A203" s="116"/>
      <c r="B203" s="64"/>
      <c r="C203" s="64"/>
      <c r="D203" s="64"/>
      <c r="E203" s="64"/>
      <c r="F203" s="64"/>
      <c r="G203" s="64"/>
      <c r="H203" s="64"/>
      <c r="I203" s="64"/>
      <c r="J203" s="116"/>
      <c r="K203" s="116"/>
      <c r="L203" s="116"/>
      <c r="M203" s="116"/>
      <c r="N203" s="116"/>
      <c r="O203" s="116"/>
      <c r="P203" s="116"/>
      <c r="Q203" s="102"/>
      <c r="R203" s="102"/>
      <c r="S203" s="102"/>
      <c r="T203" s="102"/>
      <c r="U203" s="913"/>
      <c r="V203" s="114"/>
      <c r="W203" s="805"/>
      <c r="X203" s="805"/>
      <c r="Y203" s="805"/>
      <c r="Z203" s="914"/>
      <c r="AA203" s="102"/>
      <c r="AB203" s="102"/>
      <c r="AC203" s="102"/>
      <c r="AD203" s="102"/>
      <c r="AE203" s="102"/>
      <c r="AF203" s="102"/>
      <c r="AG203" s="102"/>
      <c r="AH203" s="102"/>
      <c r="AI203" s="102"/>
      <c r="AJ203" s="102"/>
      <c r="AK203" s="102"/>
      <c r="AL203" s="915"/>
      <c r="AM203" s="915"/>
      <c r="AN203" s="114"/>
      <c r="AO203" s="64"/>
      <c r="AP203" s="64"/>
      <c r="AQ203" s="64"/>
      <c r="AR203" s="916"/>
      <c r="AS203" s="916"/>
      <c r="AT203" s="916"/>
      <c r="AU203" s="917"/>
      <c r="AV203" s="917"/>
      <c r="AW203" s="917"/>
      <c r="AX203" s="918"/>
      <c r="AY203" s="916"/>
      <c r="AZ203" s="64"/>
      <c r="BA203" s="64"/>
      <c r="BB203" s="64"/>
      <c r="BC203" s="64"/>
      <c r="BD203" s="64"/>
      <c r="BE203" s="64"/>
      <c r="BF203" s="64"/>
      <c r="BG203" s="64"/>
      <c r="BH203" s="941"/>
      <c r="BI203" s="64"/>
      <c r="BJ203" s="941"/>
      <c r="BK203" s="64"/>
      <c r="BL203" s="941"/>
      <c r="BM203" s="64"/>
      <c r="BN203" s="64"/>
      <c r="BO203" s="64"/>
      <c r="BP203" s="64"/>
      <c r="BQ203" s="941"/>
      <c r="BR203" s="64"/>
      <c r="BS203" s="64"/>
      <c r="BT203" s="64"/>
      <c r="BU203" s="64"/>
      <c r="BV203" s="64"/>
      <c r="BW203" s="64"/>
      <c r="BX203" s="64"/>
      <c r="BY203" s="64"/>
      <c r="BZ203" s="917"/>
      <c r="CA203" s="917"/>
      <c r="CB203" s="64"/>
      <c r="CC203" s="919"/>
      <c r="CD203" s="919"/>
      <c r="CE203" s="64"/>
      <c r="CF203" s="528"/>
      <c r="CG203" s="529"/>
      <c r="CH203" s="64"/>
      <c r="CI203" s="64"/>
      <c r="CJ203" s="64"/>
      <c r="CK203" s="64"/>
      <c r="CL203" s="64"/>
      <c r="CM203" s="64"/>
      <c r="CN203" s="64"/>
      <c r="CO203" s="64"/>
      <c r="CP203" s="64"/>
      <c r="CQ203" s="64"/>
      <c r="CR203" s="64"/>
      <c r="CS203" s="64"/>
      <c r="CT203" s="64"/>
      <c r="CU203" s="64"/>
      <c r="CV203" s="64"/>
      <c r="CW203" s="64"/>
      <c r="CX203" s="64"/>
      <c r="CY203" s="1011"/>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c r="FC203" s="64"/>
      <c r="FD203" s="64"/>
      <c r="FE203" s="64"/>
      <c r="FF203" s="64"/>
      <c r="FG203" s="64"/>
      <c r="FH203" s="64"/>
      <c r="FI203" s="64"/>
      <c r="FJ203" s="64"/>
      <c r="FK203" s="64"/>
      <c r="FL203" s="64"/>
      <c r="FM203" s="64"/>
      <c r="FN203" s="64"/>
      <c r="FO203" s="64"/>
      <c r="FP203" s="64"/>
      <c r="FQ203" s="64"/>
      <c r="FR203" s="64"/>
      <c r="FS203" s="64"/>
      <c r="FT203" s="64"/>
      <c r="FU203" s="64"/>
      <c r="FV203" s="64"/>
      <c r="FW203" s="64"/>
      <c r="FX203" s="64"/>
      <c r="FY203" s="64"/>
      <c r="FZ203" s="64"/>
      <c r="GA203" s="64"/>
      <c r="GB203" s="64"/>
      <c r="GC203" s="64"/>
      <c r="GD203" s="64"/>
      <c r="GE203" s="64"/>
      <c r="GF203" s="64"/>
      <c r="GG203" s="64"/>
      <c r="GH203" s="64"/>
      <c r="GI203" s="64"/>
      <c r="GJ203" s="64"/>
      <c r="GK203" s="64"/>
      <c r="GL203" s="64"/>
      <c r="GM203" s="64"/>
      <c r="GN203" s="64"/>
      <c r="GO203" s="64"/>
      <c r="GP203" s="64"/>
      <c r="GQ203" s="64"/>
      <c r="GR203" s="64"/>
      <c r="GS203" s="64"/>
      <c r="GT203" s="64"/>
      <c r="GU203" s="64"/>
      <c r="GV203" s="64"/>
      <c r="GW203" s="64"/>
      <c r="GX203" s="64"/>
      <c r="GY203" s="64"/>
      <c r="GZ203" s="64"/>
      <c r="HA203" s="64"/>
      <c r="HB203" s="64"/>
      <c r="HC203" s="64"/>
      <c r="HD203" s="64"/>
      <c r="HE203" s="64"/>
      <c r="HF203" s="64"/>
      <c r="HG203" s="64"/>
      <c r="HH203" s="64"/>
      <c r="HI203" s="64"/>
      <c r="HJ203" s="64"/>
      <c r="HK203" s="64"/>
      <c r="HL203" s="64"/>
      <c r="HM203" s="64"/>
      <c r="HN203" s="64"/>
      <c r="HO203" s="64"/>
      <c r="HP203" s="64"/>
      <c r="HQ203" s="64"/>
      <c r="HR203" s="64"/>
      <c r="HS203" s="64"/>
      <c r="HT203" s="64"/>
      <c r="HU203" s="64"/>
      <c r="HV203" s="64"/>
      <c r="HW203" s="64"/>
      <c r="HX203" s="64"/>
      <c r="HY203" s="64"/>
      <c r="HZ203" s="64"/>
      <c r="IA203" s="64"/>
      <c r="IB203" s="64"/>
      <c r="IC203" s="64"/>
      <c r="ID203" s="64"/>
      <c r="IE203" s="64"/>
      <c r="IF203" s="64"/>
      <c r="IG203" s="64"/>
      <c r="IH203" s="64"/>
      <c r="II203" s="64"/>
      <c r="IJ203" s="64"/>
      <c r="IK203" s="64"/>
      <c r="IL203" s="64"/>
      <c r="IM203" s="64"/>
      <c r="IN203" s="64"/>
      <c r="IO203" s="64"/>
      <c r="IP203" s="64"/>
      <c r="IQ203" s="64"/>
      <c r="IR203" s="64"/>
      <c r="IS203" s="64"/>
      <c r="IT203" s="64"/>
      <c r="IU203" s="64"/>
      <c r="IV203" s="64"/>
      <c r="IW203" s="64"/>
      <c r="IX203" s="64"/>
      <c r="IY203" s="64"/>
      <c r="IZ203" s="64"/>
      <c r="JA203" s="64"/>
      <c r="JB203" s="64"/>
      <c r="JC203" s="64"/>
      <c r="JD203" s="64"/>
      <c r="JE203" s="64"/>
      <c r="JF203" s="64"/>
      <c r="JG203" s="64"/>
      <c r="JH203" s="64"/>
      <c r="JI203" s="64"/>
    </row>
    <row r="204" spans="1:269" s="920" customFormat="1" x14ac:dyDescent="0.2">
      <c r="A204" s="116"/>
      <c r="B204" s="64"/>
      <c r="C204" s="64"/>
      <c r="D204" s="64"/>
      <c r="E204" s="64"/>
      <c r="F204" s="64"/>
      <c r="G204" s="64"/>
      <c r="H204" s="64"/>
      <c r="I204" s="64"/>
      <c r="J204" s="116"/>
      <c r="K204" s="116"/>
      <c r="L204" s="116"/>
      <c r="M204" s="116"/>
      <c r="N204" s="116"/>
      <c r="O204" s="116"/>
      <c r="P204" s="116"/>
      <c r="Q204" s="102"/>
      <c r="R204" s="102"/>
      <c r="S204" s="102"/>
      <c r="T204" s="102"/>
      <c r="U204" s="913"/>
      <c r="V204" s="114"/>
      <c r="W204" s="805"/>
      <c r="X204" s="805"/>
      <c r="Y204" s="805"/>
      <c r="Z204" s="914"/>
      <c r="AA204" s="102"/>
      <c r="AB204" s="102"/>
      <c r="AC204" s="102"/>
      <c r="AD204" s="102"/>
      <c r="AE204" s="102"/>
      <c r="AF204" s="102"/>
      <c r="AG204" s="102"/>
      <c r="AH204" s="102"/>
      <c r="AI204" s="102"/>
      <c r="AJ204" s="102"/>
      <c r="AK204" s="102"/>
      <c r="AL204" s="915"/>
      <c r="AM204" s="915"/>
      <c r="AN204" s="114"/>
      <c r="AO204" s="64"/>
      <c r="AP204" s="64"/>
      <c r="AQ204" s="64"/>
      <c r="AR204" s="916"/>
      <c r="AS204" s="916"/>
      <c r="AT204" s="916"/>
      <c r="AU204" s="917"/>
      <c r="AV204" s="917"/>
      <c r="AW204" s="917"/>
      <c r="AX204" s="918"/>
      <c r="AY204" s="916"/>
      <c r="AZ204" s="64"/>
      <c r="BA204" s="64"/>
      <c r="BB204" s="64"/>
      <c r="BC204" s="64"/>
      <c r="BD204" s="637"/>
      <c r="BE204" s="637"/>
      <c r="BF204" s="637"/>
      <c r="BG204" s="637"/>
      <c r="BH204" s="637"/>
      <c r="BI204" s="64"/>
      <c r="BJ204" s="637"/>
      <c r="BK204" s="64"/>
      <c r="BL204" s="637"/>
      <c r="BM204" s="64"/>
      <c r="BN204" s="64"/>
      <c r="BO204" s="64"/>
      <c r="BP204" s="64"/>
      <c r="BQ204" s="637"/>
      <c r="BR204" s="64"/>
      <c r="BS204" s="64"/>
      <c r="BT204" s="64"/>
      <c r="BU204" s="64"/>
      <c r="BV204" s="64"/>
      <c r="BW204" s="64"/>
      <c r="BX204" s="64"/>
      <c r="BY204" s="64"/>
      <c r="BZ204" s="917"/>
      <c r="CA204" s="917"/>
      <c r="CB204" s="64"/>
      <c r="CC204" s="919"/>
      <c r="CD204" s="919"/>
      <c r="CE204" s="64"/>
      <c r="CF204" s="528"/>
      <c r="CG204" s="529"/>
      <c r="CH204" s="64"/>
      <c r="CI204" s="64"/>
      <c r="CJ204" s="64"/>
      <c r="CK204" s="64"/>
      <c r="CL204" s="64"/>
      <c r="CM204" s="64"/>
      <c r="CN204" s="64"/>
      <c r="CO204" s="64"/>
      <c r="CP204" s="64"/>
      <c r="CQ204" s="64"/>
      <c r="CR204" s="64"/>
      <c r="CS204" s="64"/>
      <c r="CT204" s="64"/>
      <c r="CU204" s="64"/>
      <c r="CV204" s="64"/>
      <c r="CW204" s="64"/>
      <c r="CX204" s="64"/>
      <c r="CY204" s="1011"/>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c r="FC204" s="64"/>
      <c r="FD204" s="64"/>
      <c r="FE204" s="64"/>
      <c r="FF204" s="64"/>
      <c r="FG204" s="64"/>
      <c r="FH204" s="64"/>
      <c r="FI204" s="64"/>
      <c r="FJ204" s="64"/>
      <c r="FK204" s="64"/>
      <c r="FL204" s="64"/>
      <c r="FM204" s="64"/>
      <c r="FN204" s="64"/>
      <c r="FO204" s="64"/>
      <c r="FP204" s="64"/>
      <c r="FQ204" s="64"/>
      <c r="FR204" s="64"/>
      <c r="FS204" s="64"/>
      <c r="FT204" s="64"/>
      <c r="FU204" s="64"/>
      <c r="FV204" s="64"/>
      <c r="FW204" s="64"/>
      <c r="FX204" s="64"/>
      <c r="FY204" s="64"/>
      <c r="FZ204" s="64"/>
      <c r="GA204" s="64"/>
      <c r="GB204" s="64"/>
      <c r="GC204" s="64"/>
      <c r="GD204" s="64"/>
      <c r="GE204" s="64"/>
      <c r="GF204" s="64"/>
      <c r="GG204" s="64"/>
      <c r="GH204" s="64"/>
      <c r="GI204" s="64"/>
      <c r="GJ204" s="64"/>
      <c r="GK204" s="64"/>
      <c r="GL204" s="64"/>
      <c r="GM204" s="64"/>
      <c r="GN204" s="64"/>
      <c r="GO204" s="64"/>
      <c r="GP204" s="64"/>
      <c r="GQ204" s="64"/>
      <c r="GR204" s="64"/>
      <c r="GS204" s="64"/>
      <c r="GT204" s="64"/>
      <c r="GU204" s="64"/>
      <c r="GV204" s="64"/>
      <c r="GW204" s="64"/>
      <c r="GX204" s="64"/>
      <c r="GY204" s="64"/>
      <c r="GZ204" s="64"/>
      <c r="HA204" s="64"/>
      <c r="HB204" s="64"/>
      <c r="HC204" s="64"/>
      <c r="HD204" s="64"/>
      <c r="HE204" s="64"/>
      <c r="HF204" s="64"/>
      <c r="HG204" s="64"/>
      <c r="HH204" s="64"/>
      <c r="HI204" s="64"/>
      <c r="HJ204" s="64"/>
      <c r="HK204" s="64"/>
      <c r="HL204" s="64"/>
      <c r="HM204" s="64"/>
      <c r="HN204" s="64"/>
      <c r="HO204" s="64"/>
      <c r="HP204" s="64"/>
      <c r="HQ204" s="64"/>
      <c r="HR204" s="64"/>
      <c r="HS204" s="64"/>
      <c r="HT204" s="64"/>
      <c r="HU204" s="64"/>
      <c r="HV204" s="64"/>
      <c r="HW204" s="64"/>
      <c r="HX204" s="64"/>
      <c r="HY204" s="64"/>
      <c r="HZ204" s="64"/>
      <c r="IA204" s="64"/>
      <c r="IB204" s="64"/>
      <c r="IC204" s="64"/>
      <c r="ID204" s="64"/>
      <c r="IE204" s="64"/>
      <c r="IF204" s="64"/>
      <c r="IG204" s="64"/>
      <c r="IH204" s="64"/>
      <c r="II204" s="64"/>
      <c r="IJ204" s="64"/>
      <c r="IK204" s="64"/>
      <c r="IL204" s="64"/>
      <c r="IM204" s="64"/>
      <c r="IN204" s="64"/>
      <c r="IO204" s="64"/>
      <c r="IP204" s="64"/>
      <c r="IQ204" s="64"/>
      <c r="IR204" s="64"/>
      <c r="IS204" s="64"/>
      <c r="IT204" s="64"/>
      <c r="IU204" s="64"/>
      <c r="IV204" s="64"/>
      <c r="IW204" s="64"/>
      <c r="IX204" s="64"/>
      <c r="IY204" s="64"/>
      <c r="IZ204" s="64"/>
      <c r="JA204" s="64"/>
      <c r="JB204" s="64"/>
      <c r="JC204" s="64"/>
      <c r="JD204" s="64"/>
      <c r="JE204" s="64"/>
      <c r="JF204" s="64"/>
      <c r="JG204" s="64"/>
      <c r="JH204" s="64"/>
      <c r="JI204" s="64"/>
    </row>
    <row r="205" spans="1:269" s="920" customFormat="1" x14ac:dyDescent="0.2">
      <c r="A205" s="116"/>
      <c r="B205" s="64"/>
      <c r="C205" s="64"/>
      <c r="D205" s="64"/>
      <c r="E205" s="64"/>
      <c r="F205" s="64"/>
      <c r="G205" s="64"/>
      <c r="H205" s="64"/>
      <c r="I205" s="64"/>
      <c r="J205" s="116"/>
      <c r="K205" s="116"/>
      <c r="L205" s="116"/>
      <c r="M205" s="116"/>
      <c r="N205" s="116"/>
      <c r="O205" s="116"/>
      <c r="P205" s="116"/>
      <c r="Q205" s="102"/>
      <c r="R205" s="102"/>
      <c r="S205" s="102"/>
      <c r="T205" s="102"/>
      <c r="U205" s="913"/>
      <c r="V205" s="114"/>
      <c r="W205" s="805"/>
      <c r="X205" s="805"/>
      <c r="Y205" s="805"/>
      <c r="Z205" s="914"/>
      <c r="AA205" s="102"/>
      <c r="AB205" s="102"/>
      <c r="AC205" s="102"/>
      <c r="AD205" s="102"/>
      <c r="AE205" s="102"/>
      <c r="AF205" s="102"/>
      <c r="AG205" s="102"/>
      <c r="AH205" s="102"/>
      <c r="AI205" s="102"/>
      <c r="AJ205" s="102"/>
      <c r="AK205" s="102"/>
      <c r="AL205" s="915"/>
      <c r="AM205" s="915"/>
      <c r="AN205" s="114"/>
      <c r="AO205" s="64"/>
      <c r="AP205" s="64"/>
      <c r="AQ205" s="64"/>
      <c r="AR205" s="916"/>
      <c r="AS205" s="916"/>
      <c r="AT205" s="916"/>
      <c r="AU205" s="917"/>
      <c r="AV205" s="917"/>
      <c r="AW205" s="917"/>
      <c r="AX205" s="918"/>
      <c r="AY205" s="916"/>
      <c r="AZ205" s="64"/>
      <c r="BA205" s="64"/>
      <c r="BB205" s="64"/>
      <c r="BC205" s="64"/>
      <c r="BD205" s="637"/>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917"/>
      <c r="CA205" s="917"/>
      <c r="CB205" s="64"/>
      <c r="CC205" s="919"/>
      <c r="CD205" s="919"/>
      <c r="CE205" s="64"/>
      <c r="CF205" s="528"/>
      <c r="CG205" s="529"/>
      <c r="CH205" s="64"/>
      <c r="CI205" s="64"/>
      <c r="CJ205" s="64"/>
      <c r="CK205" s="64"/>
      <c r="CL205" s="64"/>
      <c r="CM205" s="64"/>
      <c r="CN205" s="64"/>
      <c r="CO205" s="64"/>
      <c r="CP205" s="64"/>
      <c r="CQ205" s="64"/>
      <c r="CR205" s="64"/>
      <c r="CS205" s="64"/>
      <c r="CT205" s="64"/>
      <c r="CU205" s="64"/>
      <c r="CV205" s="64"/>
      <c r="CW205" s="64"/>
      <c r="CX205" s="64"/>
      <c r="CY205" s="1011"/>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c r="FC205" s="64"/>
      <c r="FD205" s="64"/>
      <c r="FE205" s="64"/>
      <c r="FF205" s="64"/>
      <c r="FG205" s="64"/>
      <c r="FH205" s="64"/>
      <c r="FI205" s="64"/>
      <c r="FJ205" s="64"/>
      <c r="FK205" s="64"/>
      <c r="FL205" s="64"/>
      <c r="FM205" s="64"/>
      <c r="FN205" s="64"/>
      <c r="FO205" s="64"/>
      <c r="FP205" s="64"/>
      <c r="FQ205" s="64"/>
      <c r="FR205" s="64"/>
      <c r="FS205" s="64"/>
      <c r="FT205" s="64"/>
      <c r="FU205" s="64"/>
      <c r="FV205" s="64"/>
      <c r="FW205" s="64"/>
      <c r="FX205" s="64"/>
      <c r="FY205" s="64"/>
      <c r="FZ205" s="64"/>
      <c r="GA205" s="64"/>
      <c r="GB205" s="64"/>
      <c r="GC205" s="64"/>
      <c r="GD205" s="64"/>
      <c r="GE205" s="64"/>
      <c r="GF205" s="64"/>
      <c r="GG205" s="64"/>
      <c r="GH205" s="64"/>
      <c r="GI205" s="64"/>
      <c r="GJ205" s="64"/>
      <c r="GK205" s="64"/>
      <c r="GL205" s="64"/>
      <c r="GM205" s="64"/>
      <c r="GN205" s="64"/>
      <c r="GO205" s="64"/>
      <c r="GP205" s="64"/>
      <c r="GQ205" s="64"/>
      <c r="GR205" s="64"/>
      <c r="GS205" s="64"/>
      <c r="GT205" s="64"/>
      <c r="GU205" s="64"/>
      <c r="GV205" s="64"/>
      <c r="GW205" s="64"/>
      <c r="GX205" s="64"/>
      <c r="GY205" s="64"/>
      <c r="GZ205" s="64"/>
      <c r="HA205" s="64"/>
      <c r="HB205" s="64"/>
      <c r="HC205" s="64"/>
      <c r="HD205" s="64"/>
      <c r="HE205" s="64"/>
      <c r="HF205" s="64"/>
      <c r="HG205" s="64"/>
      <c r="HH205" s="64"/>
      <c r="HI205" s="64"/>
      <c r="HJ205" s="64"/>
      <c r="HK205" s="64"/>
      <c r="HL205" s="64"/>
      <c r="HM205" s="64"/>
      <c r="HN205" s="64"/>
      <c r="HO205" s="64"/>
      <c r="HP205" s="64"/>
      <c r="HQ205" s="64"/>
      <c r="HR205" s="64"/>
      <c r="HS205" s="64"/>
      <c r="HT205" s="64"/>
      <c r="HU205" s="64"/>
      <c r="HV205" s="64"/>
      <c r="HW205" s="64"/>
      <c r="HX205" s="64"/>
      <c r="HY205" s="64"/>
      <c r="HZ205" s="64"/>
      <c r="IA205" s="64"/>
      <c r="IB205" s="64"/>
      <c r="IC205" s="64"/>
      <c r="ID205" s="64"/>
      <c r="IE205" s="64"/>
      <c r="IF205" s="64"/>
      <c r="IG205" s="64"/>
      <c r="IH205" s="64"/>
      <c r="II205" s="64"/>
      <c r="IJ205" s="64"/>
      <c r="IK205" s="64"/>
      <c r="IL205" s="64"/>
      <c r="IM205" s="64"/>
      <c r="IN205" s="64"/>
      <c r="IO205" s="64"/>
      <c r="IP205" s="64"/>
      <c r="IQ205" s="64"/>
      <c r="IR205" s="64"/>
      <c r="IS205" s="64"/>
      <c r="IT205" s="64"/>
      <c r="IU205" s="64"/>
      <c r="IV205" s="64"/>
      <c r="IW205" s="64"/>
      <c r="IX205" s="64"/>
      <c r="IY205" s="64"/>
      <c r="IZ205" s="64"/>
      <c r="JA205" s="64"/>
      <c r="JB205" s="64"/>
      <c r="JC205" s="64"/>
      <c r="JD205" s="64"/>
      <c r="JE205" s="64"/>
      <c r="JF205" s="64"/>
      <c r="JG205" s="64"/>
      <c r="JH205" s="64"/>
      <c r="JI205" s="64"/>
    </row>
    <row r="206" spans="1:269" s="920" customFormat="1" x14ac:dyDescent="0.2">
      <c r="A206" s="116"/>
      <c r="B206" s="64"/>
      <c r="C206" s="64"/>
      <c r="D206" s="64"/>
      <c r="E206" s="64"/>
      <c r="F206" s="64"/>
      <c r="G206" s="64"/>
      <c r="H206" s="64"/>
      <c r="I206" s="64"/>
      <c r="J206" s="116"/>
      <c r="K206" s="116"/>
      <c r="L206" s="116"/>
      <c r="M206" s="116"/>
      <c r="N206" s="116"/>
      <c r="O206" s="116"/>
      <c r="P206" s="116"/>
      <c r="Q206" s="102"/>
      <c r="R206" s="102"/>
      <c r="S206" s="102"/>
      <c r="T206" s="102"/>
      <c r="U206" s="913"/>
      <c r="V206" s="114"/>
      <c r="W206" s="805"/>
      <c r="X206" s="805"/>
      <c r="Y206" s="805"/>
      <c r="Z206" s="914"/>
      <c r="AA206" s="102"/>
      <c r="AB206" s="102"/>
      <c r="AC206" s="102"/>
      <c r="AD206" s="102"/>
      <c r="AE206" s="102"/>
      <c r="AF206" s="102"/>
      <c r="AG206" s="102"/>
      <c r="AH206" s="102"/>
      <c r="AI206" s="102"/>
      <c r="AJ206" s="102"/>
      <c r="AK206" s="102"/>
      <c r="AL206" s="915"/>
      <c r="AM206" s="915"/>
      <c r="AN206" s="114"/>
      <c r="AO206" s="64"/>
      <c r="AP206" s="64"/>
      <c r="AQ206" s="64"/>
      <c r="AR206" s="916"/>
      <c r="AS206" s="916"/>
      <c r="AT206" s="916"/>
      <c r="AU206" s="917"/>
      <c r="AV206" s="917"/>
      <c r="AW206" s="917"/>
      <c r="AX206" s="918"/>
      <c r="AY206" s="916"/>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917"/>
      <c r="CA206" s="917"/>
      <c r="CB206" s="64"/>
      <c r="CC206" s="919"/>
      <c r="CD206" s="919"/>
      <c r="CE206" s="64"/>
      <c r="CF206" s="528"/>
      <c r="CG206" s="529"/>
      <c r="CH206" s="64"/>
      <c r="CI206" s="64"/>
      <c r="CJ206" s="64"/>
      <c r="CK206" s="64"/>
      <c r="CL206" s="64"/>
      <c r="CM206" s="64"/>
      <c r="CN206" s="64"/>
      <c r="CO206" s="64"/>
      <c r="CP206" s="64"/>
      <c r="CQ206" s="64"/>
      <c r="CR206" s="64"/>
      <c r="CS206" s="64"/>
      <c r="CT206" s="64"/>
      <c r="CU206" s="64"/>
      <c r="CV206" s="64"/>
      <c r="CW206" s="64"/>
      <c r="CX206" s="64"/>
      <c r="CY206" s="1011"/>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c r="FC206" s="64"/>
      <c r="FD206" s="64"/>
      <c r="FE206" s="64"/>
      <c r="FF206" s="64"/>
      <c r="FG206" s="64"/>
      <c r="FH206" s="64"/>
      <c r="FI206" s="64"/>
      <c r="FJ206" s="64"/>
      <c r="FK206" s="64"/>
      <c r="FL206" s="64"/>
      <c r="FM206" s="64"/>
      <c r="FN206" s="64"/>
      <c r="FO206" s="64"/>
      <c r="FP206" s="64"/>
      <c r="FQ206" s="64"/>
      <c r="FR206" s="64"/>
      <c r="FS206" s="64"/>
      <c r="FT206" s="64"/>
      <c r="FU206" s="64"/>
      <c r="FV206" s="64"/>
      <c r="FW206" s="64"/>
      <c r="FX206" s="64"/>
      <c r="FY206" s="64"/>
      <c r="FZ206" s="64"/>
      <c r="GA206" s="64"/>
      <c r="GB206" s="64"/>
      <c r="GC206" s="64"/>
      <c r="GD206" s="64"/>
      <c r="GE206" s="64"/>
      <c r="GF206" s="64"/>
      <c r="GG206" s="64"/>
      <c r="GH206" s="64"/>
      <c r="GI206" s="64"/>
      <c r="GJ206" s="64"/>
      <c r="GK206" s="64"/>
      <c r="GL206" s="64"/>
      <c r="GM206" s="64"/>
      <c r="GN206" s="64"/>
      <c r="GO206" s="64"/>
      <c r="GP206" s="64"/>
      <c r="GQ206" s="64"/>
      <c r="GR206" s="64"/>
      <c r="GS206" s="64"/>
      <c r="GT206" s="64"/>
      <c r="GU206" s="64"/>
      <c r="GV206" s="64"/>
      <c r="GW206" s="64"/>
      <c r="GX206" s="64"/>
      <c r="GY206" s="64"/>
      <c r="GZ206" s="64"/>
      <c r="HA206" s="64"/>
      <c r="HB206" s="64"/>
      <c r="HC206" s="64"/>
      <c r="HD206" s="64"/>
      <c r="HE206" s="64"/>
      <c r="HF206" s="64"/>
      <c r="HG206" s="64"/>
      <c r="HH206" s="64"/>
      <c r="HI206" s="64"/>
      <c r="HJ206" s="64"/>
      <c r="HK206" s="64"/>
      <c r="HL206" s="64"/>
      <c r="HM206" s="64"/>
      <c r="HN206" s="64"/>
      <c r="HO206" s="64"/>
      <c r="HP206" s="64"/>
      <c r="HQ206" s="64"/>
      <c r="HR206" s="64"/>
      <c r="HS206" s="64"/>
      <c r="HT206" s="64"/>
      <c r="HU206" s="64"/>
      <c r="HV206" s="64"/>
      <c r="HW206" s="64"/>
      <c r="HX206" s="64"/>
      <c r="HY206" s="64"/>
      <c r="HZ206" s="64"/>
      <c r="IA206" s="64"/>
      <c r="IB206" s="64"/>
      <c r="IC206" s="64"/>
      <c r="ID206" s="64"/>
      <c r="IE206" s="64"/>
      <c r="IF206" s="64"/>
      <c r="IG206" s="64"/>
      <c r="IH206" s="64"/>
      <c r="II206" s="64"/>
      <c r="IJ206" s="64"/>
      <c r="IK206" s="64"/>
      <c r="IL206" s="64"/>
      <c r="IM206" s="64"/>
      <c r="IN206" s="64"/>
      <c r="IO206" s="64"/>
      <c r="IP206" s="64"/>
      <c r="IQ206" s="64"/>
      <c r="IR206" s="64"/>
      <c r="IS206" s="64"/>
      <c r="IT206" s="64"/>
      <c r="IU206" s="64"/>
      <c r="IV206" s="64"/>
      <c r="IW206" s="64"/>
      <c r="IX206" s="64"/>
      <c r="IY206" s="64"/>
      <c r="IZ206" s="64"/>
      <c r="JA206" s="64"/>
      <c r="JB206" s="64"/>
      <c r="JC206" s="64"/>
      <c r="JD206" s="64"/>
      <c r="JE206" s="64"/>
      <c r="JF206" s="64"/>
      <c r="JG206" s="64"/>
      <c r="JH206" s="64"/>
      <c r="JI206" s="64"/>
    </row>
    <row r="207" spans="1:269" s="920" customFormat="1" x14ac:dyDescent="0.2">
      <c r="A207" s="116"/>
      <c r="B207" s="64"/>
      <c r="C207" s="64"/>
      <c r="D207" s="64"/>
      <c r="E207" s="64"/>
      <c r="F207" s="64"/>
      <c r="G207" s="64"/>
      <c r="H207" s="64"/>
      <c r="I207" s="64"/>
      <c r="J207" s="116"/>
      <c r="K207" s="116"/>
      <c r="L207" s="116"/>
      <c r="M207" s="116"/>
      <c r="N207" s="116"/>
      <c r="O207" s="116"/>
      <c r="P207" s="116"/>
      <c r="Q207" s="102"/>
      <c r="R207" s="102"/>
      <c r="S207" s="102"/>
      <c r="T207" s="102"/>
      <c r="U207" s="913"/>
      <c r="V207" s="114"/>
      <c r="W207" s="805"/>
      <c r="X207" s="805"/>
      <c r="Y207" s="805"/>
      <c r="Z207" s="914"/>
      <c r="AA207" s="102"/>
      <c r="AB207" s="102"/>
      <c r="AC207" s="102"/>
      <c r="AD207" s="102"/>
      <c r="AE207" s="102"/>
      <c r="AF207" s="102"/>
      <c r="AG207" s="102"/>
      <c r="AH207" s="102"/>
      <c r="AI207" s="102"/>
      <c r="AJ207" s="102"/>
      <c r="AK207" s="102"/>
      <c r="AL207" s="915"/>
      <c r="AM207" s="915"/>
      <c r="AN207" s="114"/>
      <c r="AO207" s="64"/>
      <c r="AP207" s="64"/>
      <c r="AQ207" s="64"/>
      <c r="AR207" s="916"/>
      <c r="AS207" s="916"/>
      <c r="AT207" s="916"/>
      <c r="AU207" s="917"/>
      <c r="AV207" s="917"/>
      <c r="AW207" s="917"/>
      <c r="AX207" s="918"/>
      <c r="AY207" s="916"/>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917"/>
      <c r="CA207" s="917"/>
      <c r="CB207" s="64"/>
      <c r="CC207" s="919"/>
      <c r="CD207" s="919"/>
      <c r="CE207" s="64"/>
      <c r="CF207" s="528"/>
      <c r="CG207" s="529"/>
      <c r="CH207" s="64"/>
      <c r="CI207" s="64"/>
      <c r="CJ207" s="64"/>
      <c r="CK207" s="64"/>
      <c r="CL207" s="64"/>
      <c r="CM207" s="64"/>
      <c r="CN207" s="64"/>
      <c r="CO207" s="64"/>
      <c r="CP207" s="64"/>
      <c r="CQ207" s="64"/>
      <c r="CR207" s="64"/>
      <c r="CS207" s="64"/>
      <c r="CT207" s="64"/>
      <c r="CU207" s="64"/>
      <c r="CV207" s="64"/>
      <c r="CW207" s="64"/>
      <c r="CX207" s="64"/>
      <c r="CY207" s="1011"/>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c r="FC207" s="64"/>
      <c r="FD207" s="64"/>
      <c r="FE207" s="64"/>
      <c r="FF207" s="64"/>
      <c r="FG207" s="64"/>
      <c r="FH207" s="64"/>
      <c r="FI207" s="64"/>
      <c r="FJ207" s="64"/>
      <c r="FK207" s="64"/>
      <c r="FL207" s="64"/>
      <c r="FM207" s="64"/>
      <c r="FN207" s="64"/>
      <c r="FO207" s="64"/>
      <c r="FP207" s="64"/>
      <c r="FQ207" s="64"/>
      <c r="FR207" s="64"/>
      <c r="FS207" s="64"/>
      <c r="FT207" s="64"/>
      <c r="FU207" s="64"/>
      <c r="FV207" s="64"/>
      <c r="FW207" s="64"/>
      <c r="FX207" s="64"/>
      <c r="FY207" s="64"/>
      <c r="FZ207" s="64"/>
      <c r="GA207" s="64"/>
      <c r="GB207" s="64"/>
      <c r="GC207" s="64"/>
      <c r="GD207" s="64"/>
      <c r="GE207" s="64"/>
      <c r="GF207" s="64"/>
      <c r="GG207" s="64"/>
      <c r="GH207" s="64"/>
      <c r="GI207" s="64"/>
      <c r="GJ207" s="64"/>
      <c r="GK207" s="64"/>
      <c r="GL207" s="64"/>
      <c r="GM207" s="64"/>
      <c r="GN207" s="64"/>
      <c r="GO207" s="64"/>
      <c r="GP207" s="64"/>
      <c r="GQ207" s="64"/>
      <c r="GR207" s="64"/>
      <c r="GS207" s="64"/>
      <c r="GT207" s="64"/>
      <c r="GU207" s="64"/>
      <c r="GV207" s="64"/>
      <c r="GW207" s="64"/>
      <c r="GX207" s="64"/>
      <c r="GY207" s="64"/>
      <c r="GZ207" s="64"/>
      <c r="HA207" s="64"/>
      <c r="HB207" s="64"/>
      <c r="HC207" s="64"/>
      <c r="HD207" s="64"/>
      <c r="HE207" s="64"/>
      <c r="HF207" s="64"/>
      <c r="HG207" s="64"/>
      <c r="HH207" s="64"/>
      <c r="HI207" s="64"/>
      <c r="HJ207" s="64"/>
      <c r="HK207" s="64"/>
      <c r="HL207" s="64"/>
      <c r="HM207" s="64"/>
      <c r="HN207" s="64"/>
      <c r="HO207" s="64"/>
      <c r="HP207" s="64"/>
      <c r="HQ207" s="64"/>
      <c r="HR207" s="64"/>
      <c r="HS207" s="64"/>
      <c r="HT207" s="64"/>
      <c r="HU207" s="64"/>
      <c r="HV207" s="64"/>
      <c r="HW207" s="64"/>
      <c r="HX207" s="64"/>
      <c r="HY207" s="64"/>
      <c r="HZ207" s="64"/>
      <c r="IA207" s="64"/>
      <c r="IB207" s="64"/>
      <c r="IC207" s="64"/>
      <c r="ID207" s="64"/>
      <c r="IE207" s="64"/>
      <c r="IF207" s="64"/>
      <c r="IG207" s="64"/>
      <c r="IH207" s="64"/>
      <c r="II207" s="64"/>
      <c r="IJ207" s="64"/>
      <c r="IK207" s="64"/>
      <c r="IL207" s="64"/>
      <c r="IM207" s="64"/>
      <c r="IN207" s="64"/>
      <c r="IO207" s="64"/>
      <c r="IP207" s="64"/>
      <c r="IQ207" s="64"/>
      <c r="IR207" s="64"/>
      <c r="IS207" s="64"/>
      <c r="IT207" s="64"/>
      <c r="IU207" s="64"/>
      <c r="IV207" s="64"/>
      <c r="IW207" s="64"/>
      <c r="IX207" s="64"/>
      <c r="IY207" s="64"/>
      <c r="IZ207" s="64"/>
      <c r="JA207" s="64"/>
      <c r="JB207" s="64"/>
      <c r="JC207" s="64"/>
      <c r="JD207" s="64"/>
      <c r="JE207" s="64"/>
      <c r="JF207" s="64"/>
      <c r="JG207" s="64"/>
      <c r="JH207" s="64"/>
      <c r="JI207" s="64"/>
    </row>
    <row r="208" spans="1:269" s="920" customFormat="1" x14ac:dyDescent="0.2">
      <c r="A208" s="116"/>
      <c r="B208" s="64"/>
      <c r="C208" s="64"/>
      <c r="D208" s="64"/>
      <c r="E208" s="64"/>
      <c r="F208" s="64"/>
      <c r="G208" s="64"/>
      <c r="H208" s="64"/>
      <c r="I208" s="64"/>
      <c r="J208" s="116"/>
      <c r="K208" s="116"/>
      <c r="L208" s="116"/>
      <c r="M208" s="116"/>
      <c r="N208" s="116"/>
      <c r="O208" s="116"/>
      <c r="P208" s="116"/>
      <c r="Q208" s="102"/>
      <c r="R208" s="102"/>
      <c r="S208" s="102"/>
      <c r="T208" s="102"/>
      <c r="U208" s="913"/>
      <c r="V208" s="114"/>
      <c r="W208" s="805"/>
      <c r="X208" s="805"/>
      <c r="Y208" s="805"/>
      <c r="Z208" s="914"/>
      <c r="AA208" s="102"/>
      <c r="AB208" s="102"/>
      <c r="AC208" s="102"/>
      <c r="AD208" s="102"/>
      <c r="AE208" s="102"/>
      <c r="AF208" s="102"/>
      <c r="AG208" s="102"/>
      <c r="AH208" s="102"/>
      <c r="AI208" s="102"/>
      <c r="AJ208" s="102"/>
      <c r="AK208" s="102"/>
      <c r="AL208" s="915"/>
      <c r="AM208" s="915"/>
      <c r="AN208" s="114"/>
      <c r="AO208" s="64"/>
      <c r="AP208" s="64"/>
      <c r="AQ208" s="64"/>
      <c r="AR208" s="916"/>
      <c r="AS208" s="916"/>
      <c r="AT208" s="916"/>
      <c r="AU208" s="917"/>
      <c r="AV208" s="917"/>
      <c r="AW208" s="917"/>
      <c r="AX208" s="918"/>
      <c r="AY208" s="916"/>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917"/>
      <c r="CA208" s="917"/>
      <c r="CB208" s="64"/>
      <c r="CC208" s="919"/>
      <c r="CD208" s="919"/>
      <c r="CE208" s="64"/>
      <c r="CF208" s="528"/>
      <c r="CG208" s="529"/>
      <c r="CH208" s="64"/>
      <c r="CI208" s="64"/>
      <c r="CJ208" s="64"/>
      <c r="CK208" s="64"/>
      <c r="CL208" s="64"/>
      <c r="CM208" s="64"/>
      <c r="CN208" s="64"/>
      <c r="CO208" s="64"/>
      <c r="CP208" s="64"/>
      <c r="CQ208" s="64"/>
      <c r="CR208" s="64"/>
      <c r="CS208" s="64"/>
      <c r="CT208" s="64"/>
      <c r="CU208" s="64"/>
      <c r="CV208" s="64"/>
      <c r="CW208" s="64"/>
      <c r="CX208" s="64"/>
      <c r="CY208" s="1011"/>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c r="FC208" s="64"/>
      <c r="FD208" s="64"/>
      <c r="FE208" s="64"/>
      <c r="FF208" s="64"/>
      <c r="FG208" s="64"/>
      <c r="FH208" s="64"/>
      <c r="FI208" s="64"/>
      <c r="FJ208" s="64"/>
      <c r="FK208" s="64"/>
      <c r="FL208" s="64"/>
      <c r="FM208" s="64"/>
      <c r="FN208" s="64"/>
      <c r="FO208" s="64"/>
      <c r="FP208" s="64"/>
      <c r="FQ208" s="64"/>
      <c r="FR208" s="64"/>
      <c r="FS208" s="64"/>
      <c r="FT208" s="64"/>
      <c r="FU208" s="64"/>
      <c r="FV208" s="64"/>
      <c r="FW208" s="64"/>
      <c r="FX208" s="64"/>
      <c r="FY208" s="64"/>
      <c r="FZ208" s="64"/>
      <c r="GA208" s="64"/>
      <c r="GB208" s="64"/>
      <c r="GC208" s="64"/>
      <c r="GD208" s="64"/>
      <c r="GE208" s="64"/>
      <c r="GF208" s="64"/>
      <c r="GG208" s="64"/>
      <c r="GH208" s="64"/>
      <c r="GI208" s="64"/>
      <c r="GJ208" s="64"/>
      <c r="GK208" s="64"/>
      <c r="GL208" s="64"/>
      <c r="GM208" s="64"/>
      <c r="GN208" s="64"/>
      <c r="GO208" s="64"/>
      <c r="GP208" s="64"/>
      <c r="GQ208" s="64"/>
      <c r="GR208" s="64"/>
      <c r="GS208" s="64"/>
      <c r="GT208" s="64"/>
      <c r="GU208" s="64"/>
      <c r="GV208" s="64"/>
      <c r="GW208" s="64"/>
      <c r="GX208" s="64"/>
      <c r="GY208" s="64"/>
      <c r="GZ208" s="64"/>
      <c r="HA208" s="64"/>
      <c r="HB208" s="64"/>
      <c r="HC208" s="64"/>
      <c r="HD208" s="64"/>
      <c r="HE208" s="64"/>
      <c r="HF208" s="64"/>
      <c r="HG208" s="64"/>
      <c r="HH208" s="64"/>
      <c r="HI208" s="64"/>
      <c r="HJ208" s="64"/>
      <c r="HK208" s="64"/>
      <c r="HL208" s="64"/>
      <c r="HM208" s="64"/>
      <c r="HN208" s="64"/>
      <c r="HO208" s="64"/>
      <c r="HP208" s="64"/>
      <c r="HQ208" s="64"/>
      <c r="HR208" s="64"/>
      <c r="HS208" s="64"/>
      <c r="HT208" s="64"/>
      <c r="HU208" s="64"/>
      <c r="HV208" s="64"/>
      <c r="HW208" s="64"/>
      <c r="HX208" s="64"/>
      <c r="HY208" s="64"/>
      <c r="HZ208" s="64"/>
      <c r="IA208" s="64"/>
      <c r="IB208" s="64"/>
      <c r="IC208" s="64"/>
      <c r="ID208" s="64"/>
      <c r="IE208" s="64"/>
      <c r="IF208" s="64"/>
      <c r="IG208" s="64"/>
      <c r="IH208" s="64"/>
      <c r="II208" s="64"/>
      <c r="IJ208" s="64"/>
      <c r="IK208" s="64"/>
      <c r="IL208" s="64"/>
      <c r="IM208" s="64"/>
      <c r="IN208" s="64"/>
      <c r="IO208" s="64"/>
      <c r="IP208" s="64"/>
      <c r="IQ208" s="64"/>
      <c r="IR208" s="64"/>
      <c r="IS208" s="64"/>
      <c r="IT208" s="64"/>
      <c r="IU208" s="64"/>
      <c r="IV208" s="64"/>
      <c r="IW208" s="64"/>
      <c r="IX208" s="64"/>
      <c r="IY208" s="64"/>
      <c r="IZ208" s="64"/>
      <c r="JA208" s="64"/>
      <c r="JB208" s="64"/>
      <c r="JC208" s="64"/>
      <c r="JD208" s="64"/>
      <c r="JE208" s="64"/>
      <c r="JF208" s="64"/>
      <c r="JG208" s="64"/>
      <c r="JH208" s="64"/>
      <c r="JI208" s="64"/>
    </row>
    <row r="209" spans="1:269" s="920" customFormat="1" x14ac:dyDescent="0.2">
      <c r="A209" s="116"/>
      <c r="B209" s="64"/>
      <c r="C209" s="64"/>
      <c r="D209" s="64"/>
      <c r="E209" s="64"/>
      <c r="F209" s="64"/>
      <c r="G209" s="64"/>
      <c r="H209" s="64"/>
      <c r="I209" s="64"/>
      <c r="J209" s="116"/>
      <c r="K209" s="116"/>
      <c r="L209" s="116"/>
      <c r="M209" s="116"/>
      <c r="N209" s="116"/>
      <c r="O209" s="116"/>
      <c r="P209" s="116"/>
      <c r="Q209" s="102"/>
      <c r="R209" s="102"/>
      <c r="S209" s="102"/>
      <c r="T209" s="102"/>
      <c r="U209" s="913"/>
      <c r="V209" s="114"/>
      <c r="W209" s="805"/>
      <c r="X209" s="805"/>
      <c r="Y209" s="805"/>
      <c r="Z209" s="914"/>
      <c r="AA209" s="102"/>
      <c r="AB209" s="102"/>
      <c r="AC209" s="102"/>
      <c r="AD209" s="102"/>
      <c r="AE209" s="102"/>
      <c r="AF209" s="102"/>
      <c r="AG209" s="102"/>
      <c r="AH209" s="102"/>
      <c r="AI209" s="102"/>
      <c r="AJ209" s="102"/>
      <c r="AK209" s="102"/>
      <c r="AL209" s="915"/>
      <c r="AM209" s="915"/>
      <c r="AN209" s="114"/>
      <c r="AO209" s="64"/>
      <c r="AP209" s="64"/>
      <c r="AQ209" s="64"/>
      <c r="AR209" s="916"/>
      <c r="AS209" s="916"/>
      <c r="AT209" s="916"/>
      <c r="AU209" s="917"/>
      <c r="AV209" s="917"/>
      <c r="AW209" s="917"/>
      <c r="AX209" s="918"/>
      <c r="AY209" s="916"/>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917"/>
      <c r="CA209" s="917"/>
      <c r="CB209" s="64"/>
      <c r="CC209" s="919"/>
      <c r="CD209" s="919"/>
      <c r="CE209" s="64"/>
      <c r="CF209" s="528"/>
      <c r="CG209" s="529"/>
      <c r="CH209" s="64"/>
      <c r="CI209" s="64"/>
      <c r="CJ209" s="64"/>
      <c r="CK209" s="64"/>
      <c r="CL209" s="64"/>
      <c r="CM209" s="64"/>
      <c r="CN209" s="64"/>
      <c r="CO209" s="64"/>
      <c r="CP209" s="64"/>
      <c r="CQ209" s="64"/>
      <c r="CR209" s="64"/>
      <c r="CS209" s="64"/>
      <c r="CT209" s="64"/>
      <c r="CU209" s="64"/>
      <c r="CV209" s="64"/>
      <c r="CW209" s="64"/>
      <c r="CX209" s="64"/>
      <c r="CY209" s="1011"/>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c r="FC209" s="64"/>
      <c r="FD209" s="64"/>
      <c r="FE209" s="64"/>
      <c r="FF209" s="64"/>
      <c r="FG209" s="64"/>
      <c r="FH209" s="64"/>
      <c r="FI209" s="64"/>
      <c r="FJ209" s="64"/>
      <c r="FK209" s="64"/>
      <c r="FL209" s="64"/>
      <c r="FM209" s="64"/>
      <c r="FN209" s="64"/>
      <c r="FO209" s="64"/>
      <c r="FP209" s="64"/>
      <c r="FQ209" s="64"/>
      <c r="FR209" s="64"/>
      <c r="FS209" s="64"/>
      <c r="FT209" s="64"/>
      <c r="FU209" s="64"/>
      <c r="FV209" s="64"/>
      <c r="FW209" s="64"/>
      <c r="FX209" s="64"/>
      <c r="FY209" s="64"/>
      <c r="FZ209" s="64"/>
      <c r="GA209" s="64"/>
      <c r="GB209" s="64"/>
      <c r="GC209" s="64"/>
      <c r="GD209" s="64"/>
      <c r="GE209" s="64"/>
      <c r="GF209" s="64"/>
      <c r="GG209" s="64"/>
      <c r="GH209" s="64"/>
      <c r="GI209" s="64"/>
      <c r="GJ209" s="64"/>
      <c r="GK209" s="64"/>
      <c r="GL209" s="64"/>
      <c r="GM209" s="64"/>
      <c r="GN209" s="64"/>
      <c r="GO209" s="64"/>
      <c r="GP209" s="64"/>
      <c r="GQ209" s="64"/>
      <c r="GR209" s="64"/>
      <c r="GS209" s="64"/>
      <c r="GT209" s="64"/>
      <c r="GU209" s="64"/>
      <c r="GV209" s="64"/>
      <c r="GW209" s="64"/>
      <c r="GX209" s="64"/>
      <c r="GY209" s="64"/>
      <c r="GZ209" s="64"/>
      <c r="HA209" s="64"/>
      <c r="HB209" s="64"/>
      <c r="HC209" s="64"/>
      <c r="HD209" s="64"/>
      <c r="HE209" s="64"/>
      <c r="HF209" s="64"/>
      <c r="HG209" s="64"/>
      <c r="HH209" s="64"/>
      <c r="HI209" s="64"/>
      <c r="HJ209" s="64"/>
      <c r="HK209" s="64"/>
      <c r="HL209" s="64"/>
      <c r="HM209" s="64"/>
      <c r="HN209" s="64"/>
      <c r="HO209" s="64"/>
      <c r="HP209" s="64"/>
      <c r="HQ209" s="64"/>
      <c r="HR209" s="64"/>
      <c r="HS209" s="64"/>
      <c r="HT209" s="64"/>
      <c r="HU209" s="64"/>
      <c r="HV209" s="64"/>
      <c r="HW209" s="64"/>
      <c r="HX209" s="64"/>
      <c r="HY209" s="64"/>
      <c r="HZ209" s="64"/>
      <c r="IA209" s="64"/>
      <c r="IB209" s="64"/>
      <c r="IC209" s="64"/>
      <c r="ID209" s="64"/>
      <c r="IE209" s="64"/>
      <c r="IF209" s="64"/>
      <c r="IG209" s="64"/>
      <c r="IH209" s="64"/>
      <c r="II209" s="64"/>
      <c r="IJ209" s="64"/>
      <c r="IK209" s="64"/>
      <c r="IL209" s="64"/>
      <c r="IM209" s="64"/>
      <c r="IN209" s="64"/>
      <c r="IO209" s="64"/>
      <c r="IP209" s="64"/>
      <c r="IQ209" s="64"/>
      <c r="IR209" s="64"/>
      <c r="IS209" s="64"/>
      <c r="IT209" s="64"/>
      <c r="IU209" s="64"/>
      <c r="IV209" s="64"/>
      <c r="IW209" s="64"/>
      <c r="IX209" s="64"/>
      <c r="IY209" s="64"/>
      <c r="IZ209" s="64"/>
      <c r="JA209" s="64"/>
      <c r="JB209" s="64"/>
      <c r="JC209" s="64"/>
      <c r="JD209" s="64"/>
      <c r="JE209" s="64"/>
      <c r="JF209" s="64"/>
      <c r="JG209" s="64"/>
      <c r="JH209" s="64"/>
      <c r="JI209" s="64"/>
    </row>
    <row r="210" spans="1:269" s="920" customFormat="1" x14ac:dyDescent="0.2">
      <c r="A210" s="116"/>
      <c r="B210" s="64"/>
      <c r="C210" s="64"/>
      <c r="D210" s="64"/>
      <c r="E210" s="64"/>
      <c r="F210" s="64"/>
      <c r="G210" s="64"/>
      <c r="H210" s="64"/>
      <c r="I210" s="64"/>
      <c r="J210" s="116"/>
      <c r="K210" s="116"/>
      <c r="L210" s="116"/>
      <c r="M210" s="116"/>
      <c r="N210" s="116"/>
      <c r="O210" s="116"/>
      <c r="P210" s="116"/>
      <c r="Q210" s="102"/>
      <c r="R210" s="102"/>
      <c r="S210" s="102"/>
      <c r="T210" s="102"/>
      <c r="U210" s="913"/>
      <c r="V210" s="114"/>
      <c r="W210" s="805"/>
      <c r="X210" s="805"/>
      <c r="Y210" s="805"/>
      <c r="Z210" s="914"/>
      <c r="AA210" s="102"/>
      <c r="AB210" s="102"/>
      <c r="AC210" s="102"/>
      <c r="AD210" s="102"/>
      <c r="AE210" s="102"/>
      <c r="AF210" s="102"/>
      <c r="AG210" s="102"/>
      <c r="AH210" s="102"/>
      <c r="AI210" s="102"/>
      <c r="AJ210" s="102"/>
      <c r="AK210" s="102"/>
      <c r="AL210" s="915"/>
      <c r="AM210" s="915"/>
      <c r="AN210" s="114"/>
      <c r="AO210" s="64"/>
      <c r="AP210" s="64"/>
      <c r="AQ210" s="64"/>
      <c r="AR210" s="916"/>
      <c r="AS210" s="916"/>
      <c r="AT210" s="916"/>
      <c r="AU210" s="917"/>
      <c r="AV210" s="917"/>
      <c r="AW210" s="917"/>
      <c r="AX210" s="918"/>
      <c r="AY210" s="916"/>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917"/>
      <c r="CA210" s="917"/>
      <c r="CB210" s="64"/>
      <c r="CC210" s="919"/>
      <c r="CD210" s="919"/>
      <c r="CE210" s="64"/>
      <c r="CF210" s="528"/>
      <c r="CG210" s="529"/>
      <c r="CH210" s="64"/>
      <c r="CI210" s="64"/>
      <c r="CJ210" s="64"/>
      <c r="CK210" s="64"/>
      <c r="CL210" s="64"/>
      <c r="CM210" s="64"/>
      <c r="CN210" s="64"/>
      <c r="CO210" s="64"/>
      <c r="CP210" s="64"/>
      <c r="CQ210" s="64"/>
      <c r="CR210" s="64"/>
      <c r="CS210" s="64"/>
      <c r="CT210" s="64"/>
      <c r="CU210" s="64"/>
      <c r="CV210" s="64"/>
      <c r="CW210" s="64"/>
      <c r="CX210" s="64"/>
      <c r="CY210" s="1011"/>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c r="FC210" s="64"/>
      <c r="FD210" s="64"/>
      <c r="FE210" s="64"/>
      <c r="FF210" s="64"/>
      <c r="FG210" s="64"/>
      <c r="FH210" s="64"/>
      <c r="FI210" s="64"/>
      <c r="FJ210" s="64"/>
      <c r="FK210" s="64"/>
      <c r="FL210" s="64"/>
      <c r="FM210" s="64"/>
      <c r="FN210" s="64"/>
      <c r="FO210" s="64"/>
      <c r="FP210" s="64"/>
      <c r="FQ210" s="64"/>
      <c r="FR210" s="64"/>
      <c r="FS210" s="64"/>
      <c r="FT210" s="64"/>
      <c r="FU210" s="64"/>
      <c r="FV210" s="64"/>
      <c r="FW210" s="64"/>
      <c r="FX210" s="64"/>
      <c r="FY210" s="64"/>
      <c r="FZ210" s="64"/>
      <c r="GA210" s="64"/>
      <c r="GB210" s="64"/>
      <c r="GC210" s="64"/>
      <c r="GD210" s="64"/>
      <c r="GE210" s="64"/>
      <c r="GF210" s="64"/>
      <c r="GG210" s="64"/>
      <c r="GH210" s="64"/>
      <c r="GI210" s="64"/>
      <c r="GJ210" s="64"/>
      <c r="GK210" s="64"/>
      <c r="GL210" s="64"/>
      <c r="GM210" s="64"/>
      <c r="GN210" s="64"/>
      <c r="GO210" s="64"/>
      <c r="GP210" s="64"/>
      <c r="GQ210" s="64"/>
      <c r="GR210" s="64"/>
      <c r="GS210" s="64"/>
      <c r="GT210" s="64"/>
      <c r="GU210" s="64"/>
      <c r="GV210" s="64"/>
      <c r="GW210" s="64"/>
      <c r="GX210" s="64"/>
      <c r="GY210" s="64"/>
      <c r="GZ210" s="64"/>
      <c r="HA210" s="64"/>
      <c r="HB210" s="64"/>
      <c r="HC210" s="64"/>
      <c r="HD210" s="64"/>
      <c r="HE210" s="64"/>
      <c r="HF210" s="64"/>
      <c r="HG210" s="64"/>
      <c r="HH210" s="64"/>
      <c r="HI210" s="64"/>
      <c r="HJ210" s="64"/>
      <c r="HK210" s="64"/>
      <c r="HL210" s="64"/>
      <c r="HM210" s="64"/>
      <c r="HN210" s="64"/>
      <c r="HO210" s="64"/>
      <c r="HP210" s="64"/>
      <c r="HQ210" s="64"/>
      <c r="HR210" s="64"/>
      <c r="HS210" s="64"/>
      <c r="HT210" s="64"/>
      <c r="HU210" s="64"/>
      <c r="HV210" s="64"/>
      <c r="HW210" s="64"/>
      <c r="HX210" s="64"/>
      <c r="HY210" s="64"/>
      <c r="HZ210" s="64"/>
      <c r="IA210" s="64"/>
      <c r="IB210" s="64"/>
      <c r="IC210" s="64"/>
      <c r="ID210" s="64"/>
      <c r="IE210" s="64"/>
      <c r="IF210" s="64"/>
      <c r="IG210" s="64"/>
      <c r="IH210" s="64"/>
      <c r="II210" s="64"/>
      <c r="IJ210" s="64"/>
      <c r="IK210" s="64"/>
      <c r="IL210" s="64"/>
      <c r="IM210" s="64"/>
      <c r="IN210" s="64"/>
      <c r="IO210" s="64"/>
      <c r="IP210" s="64"/>
      <c r="IQ210" s="64"/>
      <c r="IR210" s="64"/>
      <c r="IS210" s="64"/>
      <c r="IT210" s="64"/>
      <c r="IU210" s="64"/>
      <c r="IV210" s="64"/>
      <c r="IW210" s="64"/>
      <c r="IX210" s="64"/>
      <c r="IY210" s="64"/>
      <c r="IZ210" s="64"/>
      <c r="JA210" s="64"/>
      <c r="JB210" s="64"/>
      <c r="JC210" s="64"/>
      <c r="JD210" s="64"/>
      <c r="JE210" s="64"/>
      <c r="JF210" s="64"/>
      <c r="JG210" s="64"/>
      <c r="JH210" s="64"/>
      <c r="JI210" s="64"/>
    </row>
    <row r="211" spans="1:269" s="920" customFormat="1" x14ac:dyDescent="0.2">
      <c r="A211" s="116"/>
      <c r="B211" s="64"/>
      <c r="C211" s="64"/>
      <c r="D211" s="64"/>
      <c r="E211" s="64"/>
      <c r="F211" s="64"/>
      <c r="G211" s="64"/>
      <c r="H211" s="64"/>
      <c r="I211" s="64"/>
      <c r="J211" s="116"/>
      <c r="K211" s="116"/>
      <c r="L211" s="116"/>
      <c r="M211" s="116"/>
      <c r="N211" s="116"/>
      <c r="O211" s="116"/>
      <c r="P211" s="116"/>
      <c r="Q211" s="102"/>
      <c r="R211" s="102"/>
      <c r="S211" s="102"/>
      <c r="T211" s="102"/>
      <c r="U211" s="913"/>
      <c r="V211" s="114"/>
      <c r="W211" s="805"/>
      <c r="X211" s="805"/>
      <c r="Y211" s="805"/>
      <c r="Z211" s="914"/>
      <c r="AA211" s="102"/>
      <c r="AB211" s="102"/>
      <c r="AC211" s="102"/>
      <c r="AD211" s="102"/>
      <c r="AE211" s="102"/>
      <c r="AF211" s="102"/>
      <c r="AG211" s="102"/>
      <c r="AH211" s="102"/>
      <c r="AI211" s="102"/>
      <c r="AJ211" s="102"/>
      <c r="AK211" s="102"/>
      <c r="AL211" s="915"/>
      <c r="AM211" s="915"/>
      <c r="AN211" s="114"/>
      <c r="AO211" s="64"/>
      <c r="AP211" s="64"/>
      <c r="AQ211" s="64"/>
      <c r="AR211" s="916"/>
      <c r="AS211" s="916"/>
      <c r="AT211" s="916"/>
      <c r="AU211" s="917"/>
      <c r="AV211" s="917"/>
      <c r="AW211" s="917"/>
      <c r="AX211" s="918"/>
      <c r="AY211" s="916"/>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917"/>
      <c r="CA211" s="917"/>
      <c r="CB211" s="64"/>
      <c r="CC211" s="919"/>
      <c r="CD211" s="919"/>
      <c r="CE211" s="64"/>
      <c r="CF211" s="528"/>
      <c r="CG211" s="529"/>
      <c r="CH211" s="64"/>
      <c r="CI211" s="64"/>
      <c r="CJ211" s="64"/>
      <c r="CK211" s="64"/>
      <c r="CL211" s="64"/>
      <c r="CM211" s="64"/>
      <c r="CN211" s="64"/>
      <c r="CO211" s="64"/>
      <c r="CP211" s="64"/>
      <c r="CQ211" s="64"/>
      <c r="CR211" s="64"/>
      <c r="CS211" s="64"/>
      <c r="CT211" s="64"/>
      <c r="CU211" s="64"/>
      <c r="CV211" s="64"/>
      <c r="CW211" s="64"/>
      <c r="CX211" s="64"/>
      <c r="CY211" s="1011"/>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c r="FC211" s="64"/>
      <c r="FD211" s="64"/>
      <c r="FE211" s="64"/>
      <c r="FF211" s="64"/>
      <c r="FG211" s="64"/>
      <c r="FH211" s="64"/>
      <c r="FI211" s="64"/>
      <c r="FJ211" s="64"/>
      <c r="FK211" s="64"/>
      <c r="FL211" s="64"/>
      <c r="FM211" s="64"/>
      <c r="FN211" s="64"/>
      <c r="FO211" s="64"/>
      <c r="FP211" s="64"/>
      <c r="FQ211" s="64"/>
      <c r="FR211" s="64"/>
      <c r="FS211" s="64"/>
      <c r="FT211" s="64"/>
      <c r="FU211" s="64"/>
      <c r="FV211" s="64"/>
      <c r="FW211" s="64"/>
      <c r="FX211" s="64"/>
      <c r="FY211" s="64"/>
      <c r="FZ211" s="64"/>
      <c r="GA211" s="64"/>
      <c r="GB211" s="64"/>
      <c r="GC211" s="64"/>
      <c r="GD211" s="64"/>
      <c r="GE211" s="64"/>
      <c r="GF211" s="64"/>
      <c r="GG211" s="64"/>
      <c r="GH211" s="64"/>
      <c r="GI211" s="64"/>
      <c r="GJ211" s="64"/>
      <c r="GK211" s="64"/>
      <c r="GL211" s="64"/>
      <c r="GM211" s="64"/>
      <c r="GN211" s="64"/>
      <c r="GO211" s="64"/>
      <c r="GP211" s="64"/>
      <c r="GQ211" s="64"/>
      <c r="GR211" s="64"/>
      <c r="GS211" s="64"/>
      <c r="GT211" s="64"/>
      <c r="GU211" s="64"/>
      <c r="GV211" s="64"/>
      <c r="GW211" s="64"/>
      <c r="GX211" s="64"/>
      <c r="GY211" s="64"/>
      <c r="GZ211" s="64"/>
      <c r="HA211" s="64"/>
      <c r="HB211" s="64"/>
      <c r="HC211" s="64"/>
      <c r="HD211" s="64"/>
      <c r="HE211" s="64"/>
      <c r="HF211" s="64"/>
      <c r="HG211" s="64"/>
      <c r="HH211" s="64"/>
      <c r="HI211" s="64"/>
      <c r="HJ211" s="64"/>
      <c r="HK211" s="64"/>
      <c r="HL211" s="64"/>
      <c r="HM211" s="64"/>
      <c r="HN211" s="64"/>
      <c r="HO211" s="64"/>
      <c r="HP211" s="64"/>
      <c r="HQ211" s="64"/>
      <c r="HR211" s="64"/>
      <c r="HS211" s="64"/>
      <c r="HT211" s="64"/>
      <c r="HU211" s="64"/>
      <c r="HV211" s="64"/>
      <c r="HW211" s="64"/>
      <c r="HX211" s="64"/>
      <c r="HY211" s="64"/>
      <c r="HZ211" s="64"/>
      <c r="IA211" s="64"/>
      <c r="IB211" s="64"/>
      <c r="IC211" s="64"/>
      <c r="ID211" s="64"/>
      <c r="IE211" s="64"/>
      <c r="IF211" s="64"/>
      <c r="IG211" s="64"/>
      <c r="IH211" s="64"/>
      <c r="II211" s="64"/>
      <c r="IJ211" s="64"/>
      <c r="IK211" s="64"/>
      <c r="IL211" s="64"/>
      <c r="IM211" s="64"/>
      <c r="IN211" s="64"/>
      <c r="IO211" s="64"/>
      <c r="IP211" s="64"/>
      <c r="IQ211" s="64"/>
      <c r="IR211" s="64"/>
      <c r="IS211" s="64"/>
      <c r="IT211" s="64"/>
      <c r="IU211" s="64"/>
      <c r="IV211" s="64"/>
      <c r="IW211" s="64"/>
      <c r="IX211" s="64"/>
      <c r="IY211" s="64"/>
      <c r="IZ211" s="64"/>
      <c r="JA211" s="64"/>
      <c r="JB211" s="64"/>
      <c r="JC211" s="64"/>
      <c r="JD211" s="64"/>
      <c r="JE211" s="64"/>
      <c r="JF211" s="64"/>
      <c r="JG211" s="64"/>
      <c r="JH211" s="64"/>
      <c r="JI211" s="64"/>
    </row>
    <row r="212" spans="1:269" s="920" customFormat="1" x14ac:dyDescent="0.2">
      <c r="A212" s="116"/>
      <c r="B212" s="64"/>
      <c r="C212" s="64"/>
      <c r="D212" s="64"/>
      <c r="E212" s="64"/>
      <c r="F212" s="64"/>
      <c r="G212" s="64"/>
      <c r="H212" s="64"/>
      <c r="I212" s="64"/>
      <c r="J212" s="116"/>
      <c r="K212" s="116"/>
      <c r="L212" s="116"/>
      <c r="M212" s="116"/>
      <c r="N212" s="116"/>
      <c r="O212" s="116"/>
      <c r="P212" s="116"/>
      <c r="Q212" s="102"/>
      <c r="R212" s="102"/>
      <c r="S212" s="102"/>
      <c r="T212" s="102"/>
      <c r="U212" s="913"/>
      <c r="V212" s="114"/>
      <c r="W212" s="805"/>
      <c r="X212" s="805"/>
      <c r="Y212" s="805"/>
      <c r="Z212" s="914"/>
      <c r="AA212" s="102"/>
      <c r="AB212" s="102"/>
      <c r="AC212" s="102"/>
      <c r="AD212" s="102"/>
      <c r="AE212" s="102"/>
      <c r="AF212" s="102"/>
      <c r="AG212" s="102"/>
      <c r="AH212" s="102"/>
      <c r="AI212" s="102"/>
      <c r="AJ212" s="102"/>
      <c r="AK212" s="102"/>
      <c r="AL212" s="915"/>
      <c r="AM212" s="915"/>
      <c r="AN212" s="114"/>
      <c r="AO212" s="64"/>
      <c r="AP212" s="64"/>
      <c r="AQ212" s="64"/>
      <c r="AR212" s="916"/>
      <c r="AS212" s="916"/>
      <c r="AT212" s="916"/>
      <c r="AU212" s="917"/>
      <c r="AV212" s="917"/>
      <c r="AW212" s="917"/>
      <c r="AX212" s="918"/>
      <c r="AY212" s="916"/>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917"/>
      <c r="CA212" s="917"/>
      <c r="CB212" s="64"/>
      <c r="CC212" s="919"/>
      <c r="CD212" s="919"/>
      <c r="CE212" s="64"/>
      <c r="CF212" s="528"/>
      <c r="CG212" s="529"/>
      <c r="CH212" s="64"/>
      <c r="CI212" s="64"/>
      <c r="CJ212" s="64"/>
      <c r="CK212" s="64"/>
      <c r="CL212" s="64"/>
      <c r="CM212" s="64"/>
      <c r="CN212" s="64"/>
      <c r="CO212" s="64"/>
      <c r="CP212" s="64"/>
      <c r="CQ212" s="64"/>
      <c r="CR212" s="64"/>
      <c r="CS212" s="64"/>
      <c r="CT212" s="64"/>
      <c r="CU212" s="64"/>
      <c r="CV212" s="64"/>
      <c r="CW212" s="64"/>
      <c r="CX212" s="64"/>
      <c r="CY212" s="1011"/>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c r="FC212" s="64"/>
      <c r="FD212" s="64"/>
      <c r="FE212" s="64"/>
      <c r="FF212" s="64"/>
      <c r="FG212" s="64"/>
      <c r="FH212" s="64"/>
      <c r="FI212" s="64"/>
      <c r="FJ212" s="64"/>
      <c r="FK212" s="64"/>
      <c r="FL212" s="64"/>
      <c r="FM212" s="64"/>
      <c r="FN212" s="64"/>
      <c r="FO212" s="64"/>
      <c r="FP212" s="64"/>
      <c r="FQ212" s="64"/>
      <c r="FR212" s="64"/>
      <c r="FS212" s="64"/>
      <c r="FT212" s="64"/>
      <c r="FU212" s="64"/>
      <c r="FV212" s="64"/>
      <c r="FW212" s="64"/>
      <c r="FX212" s="64"/>
      <c r="FY212" s="64"/>
      <c r="FZ212" s="64"/>
      <c r="GA212" s="64"/>
      <c r="GB212" s="64"/>
      <c r="GC212" s="64"/>
      <c r="GD212" s="64"/>
      <c r="GE212" s="64"/>
      <c r="GF212" s="64"/>
      <c r="GG212" s="64"/>
      <c r="GH212" s="64"/>
      <c r="GI212" s="64"/>
      <c r="GJ212" s="64"/>
      <c r="GK212" s="64"/>
      <c r="GL212" s="64"/>
      <c r="GM212" s="64"/>
      <c r="GN212" s="64"/>
      <c r="GO212" s="64"/>
      <c r="GP212" s="64"/>
      <c r="GQ212" s="64"/>
      <c r="GR212" s="64"/>
      <c r="GS212" s="64"/>
      <c r="GT212" s="64"/>
      <c r="GU212" s="64"/>
      <c r="GV212" s="64"/>
      <c r="GW212" s="64"/>
      <c r="GX212" s="64"/>
      <c r="GY212" s="64"/>
      <c r="GZ212" s="64"/>
      <c r="HA212" s="64"/>
      <c r="HB212" s="64"/>
      <c r="HC212" s="64"/>
      <c r="HD212" s="64"/>
      <c r="HE212" s="64"/>
      <c r="HF212" s="64"/>
      <c r="HG212" s="64"/>
      <c r="HH212" s="64"/>
      <c r="HI212" s="64"/>
      <c r="HJ212" s="64"/>
      <c r="HK212" s="64"/>
      <c r="HL212" s="64"/>
      <c r="HM212" s="64"/>
      <c r="HN212" s="64"/>
      <c r="HO212" s="64"/>
      <c r="HP212" s="64"/>
      <c r="HQ212" s="64"/>
      <c r="HR212" s="64"/>
      <c r="HS212" s="64"/>
      <c r="HT212" s="64"/>
      <c r="HU212" s="64"/>
      <c r="HV212" s="64"/>
      <c r="HW212" s="64"/>
      <c r="HX212" s="64"/>
      <c r="HY212" s="64"/>
      <c r="HZ212" s="64"/>
      <c r="IA212" s="64"/>
      <c r="IB212" s="64"/>
      <c r="IC212" s="64"/>
      <c r="ID212" s="64"/>
      <c r="IE212" s="64"/>
      <c r="IF212" s="64"/>
      <c r="IG212" s="64"/>
      <c r="IH212" s="64"/>
      <c r="II212" s="64"/>
      <c r="IJ212" s="64"/>
      <c r="IK212" s="64"/>
      <c r="IL212" s="64"/>
      <c r="IM212" s="64"/>
      <c r="IN212" s="64"/>
      <c r="IO212" s="64"/>
      <c r="IP212" s="64"/>
      <c r="IQ212" s="64"/>
      <c r="IR212" s="64"/>
      <c r="IS212" s="64"/>
      <c r="IT212" s="64"/>
      <c r="IU212" s="64"/>
      <c r="IV212" s="64"/>
      <c r="IW212" s="64"/>
      <c r="IX212" s="64"/>
      <c r="IY212" s="64"/>
      <c r="IZ212" s="64"/>
      <c r="JA212" s="64"/>
      <c r="JB212" s="64"/>
      <c r="JC212" s="64"/>
      <c r="JD212" s="64"/>
      <c r="JE212" s="64"/>
      <c r="JF212" s="64"/>
      <c r="JG212" s="64"/>
      <c r="JH212" s="64"/>
      <c r="JI212" s="64"/>
    </row>
    <row r="213" spans="1:269" s="920" customFormat="1" x14ac:dyDescent="0.2">
      <c r="A213" s="116"/>
      <c r="B213" s="64"/>
      <c r="C213" s="64"/>
      <c r="D213" s="64"/>
      <c r="E213" s="64"/>
      <c r="F213" s="64"/>
      <c r="G213" s="64"/>
      <c r="H213" s="64"/>
      <c r="I213" s="64"/>
      <c r="J213" s="116"/>
      <c r="K213" s="116"/>
      <c r="L213" s="116"/>
      <c r="M213" s="116"/>
      <c r="N213" s="116"/>
      <c r="O213" s="116"/>
      <c r="P213" s="116"/>
      <c r="Q213" s="102"/>
      <c r="R213" s="102"/>
      <c r="S213" s="102"/>
      <c r="T213" s="102"/>
      <c r="U213" s="913"/>
      <c r="V213" s="114"/>
      <c r="W213" s="805"/>
      <c r="X213" s="805"/>
      <c r="Y213" s="805"/>
      <c r="Z213" s="914"/>
      <c r="AA213" s="102"/>
      <c r="AB213" s="102"/>
      <c r="AC213" s="102"/>
      <c r="AD213" s="102"/>
      <c r="AE213" s="102"/>
      <c r="AF213" s="102"/>
      <c r="AG213" s="102"/>
      <c r="AH213" s="102"/>
      <c r="AI213" s="102"/>
      <c r="AJ213" s="102"/>
      <c r="AK213" s="102"/>
      <c r="AL213" s="915"/>
      <c r="AM213" s="915"/>
      <c r="AN213" s="114"/>
      <c r="AO213" s="64"/>
      <c r="AP213" s="64"/>
      <c r="AQ213" s="64"/>
      <c r="AR213" s="916"/>
      <c r="AS213" s="916"/>
      <c r="AT213" s="916"/>
      <c r="AU213" s="917"/>
      <c r="AV213" s="917"/>
      <c r="AW213" s="917"/>
      <c r="AX213" s="918"/>
      <c r="AY213" s="916"/>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917"/>
      <c r="CA213" s="917"/>
      <c r="CB213" s="64"/>
      <c r="CC213" s="919"/>
      <c r="CD213" s="919"/>
      <c r="CE213" s="64"/>
      <c r="CF213" s="528"/>
      <c r="CG213" s="529"/>
      <c r="CH213" s="64"/>
      <c r="CI213" s="64"/>
      <c r="CJ213" s="64"/>
      <c r="CK213" s="64"/>
      <c r="CL213" s="64"/>
      <c r="CM213" s="64"/>
      <c r="CN213" s="64"/>
      <c r="CO213" s="64"/>
      <c r="CP213" s="64"/>
      <c r="CQ213" s="64"/>
      <c r="CR213" s="64"/>
      <c r="CS213" s="64"/>
      <c r="CT213" s="64"/>
      <c r="CU213" s="64"/>
      <c r="CV213" s="64"/>
      <c r="CW213" s="64"/>
      <c r="CX213" s="64"/>
      <c r="CY213" s="1011"/>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c r="FC213" s="64"/>
      <c r="FD213" s="64"/>
      <c r="FE213" s="64"/>
      <c r="FF213" s="64"/>
      <c r="FG213" s="64"/>
      <c r="FH213" s="64"/>
      <c r="FI213" s="64"/>
      <c r="FJ213" s="64"/>
      <c r="FK213" s="64"/>
      <c r="FL213" s="64"/>
      <c r="FM213" s="64"/>
      <c r="FN213" s="64"/>
      <c r="FO213" s="64"/>
      <c r="FP213" s="64"/>
      <c r="FQ213" s="64"/>
      <c r="FR213" s="64"/>
      <c r="FS213" s="64"/>
      <c r="FT213" s="64"/>
      <c r="FU213" s="64"/>
      <c r="FV213" s="64"/>
      <c r="FW213" s="64"/>
      <c r="FX213" s="64"/>
      <c r="FY213" s="64"/>
      <c r="FZ213" s="64"/>
      <c r="GA213" s="64"/>
      <c r="GB213" s="64"/>
      <c r="GC213" s="64"/>
      <c r="GD213" s="64"/>
      <c r="GE213" s="64"/>
      <c r="GF213" s="64"/>
      <c r="GG213" s="64"/>
      <c r="GH213" s="64"/>
      <c r="GI213" s="64"/>
      <c r="GJ213" s="64"/>
      <c r="GK213" s="64"/>
      <c r="GL213" s="64"/>
      <c r="GM213" s="64"/>
      <c r="GN213" s="64"/>
      <c r="GO213" s="64"/>
      <c r="GP213" s="64"/>
      <c r="GQ213" s="64"/>
      <c r="GR213" s="64"/>
      <c r="GS213" s="64"/>
      <c r="GT213" s="64"/>
      <c r="GU213" s="64"/>
      <c r="GV213" s="64"/>
      <c r="GW213" s="64"/>
      <c r="GX213" s="64"/>
      <c r="GY213" s="64"/>
      <c r="GZ213" s="64"/>
      <c r="HA213" s="64"/>
      <c r="HB213" s="64"/>
      <c r="HC213" s="64"/>
      <c r="HD213" s="64"/>
      <c r="HE213" s="64"/>
      <c r="HF213" s="64"/>
      <c r="HG213" s="64"/>
      <c r="HH213" s="64"/>
      <c r="HI213" s="64"/>
      <c r="HJ213" s="64"/>
      <c r="HK213" s="64"/>
      <c r="HL213" s="64"/>
      <c r="HM213" s="64"/>
      <c r="HN213" s="64"/>
      <c r="HO213" s="64"/>
      <c r="HP213" s="64"/>
      <c r="HQ213" s="64"/>
      <c r="HR213" s="64"/>
      <c r="HS213" s="64"/>
      <c r="HT213" s="64"/>
      <c r="HU213" s="64"/>
      <c r="HV213" s="64"/>
      <c r="HW213" s="64"/>
      <c r="HX213" s="64"/>
      <c r="HY213" s="64"/>
      <c r="HZ213" s="64"/>
      <c r="IA213" s="64"/>
      <c r="IB213" s="64"/>
      <c r="IC213" s="64"/>
      <c r="ID213" s="64"/>
      <c r="IE213" s="64"/>
      <c r="IF213" s="64"/>
      <c r="IG213" s="64"/>
      <c r="IH213" s="64"/>
      <c r="II213" s="64"/>
      <c r="IJ213" s="64"/>
      <c r="IK213" s="64"/>
      <c r="IL213" s="64"/>
      <c r="IM213" s="64"/>
      <c r="IN213" s="64"/>
      <c r="IO213" s="64"/>
      <c r="IP213" s="64"/>
      <c r="IQ213" s="64"/>
      <c r="IR213" s="64"/>
      <c r="IS213" s="64"/>
      <c r="IT213" s="64"/>
      <c r="IU213" s="64"/>
      <c r="IV213" s="64"/>
      <c r="IW213" s="64"/>
      <c r="IX213" s="64"/>
      <c r="IY213" s="64"/>
      <c r="IZ213" s="64"/>
      <c r="JA213" s="64"/>
      <c r="JB213" s="64"/>
      <c r="JC213" s="64"/>
      <c r="JD213" s="64"/>
      <c r="JE213" s="64"/>
      <c r="JF213" s="64"/>
      <c r="JG213" s="64"/>
      <c r="JH213" s="64"/>
      <c r="JI213" s="64"/>
    </row>
    <row r="214" spans="1:269" s="920" customFormat="1" x14ac:dyDescent="0.2">
      <c r="A214" s="116"/>
      <c r="B214" s="64"/>
      <c r="C214" s="64"/>
      <c r="D214" s="64"/>
      <c r="E214" s="64"/>
      <c r="F214" s="64"/>
      <c r="G214" s="64"/>
      <c r="H214" s="64"/>
      <c r="I214" s="64"/>
      <c r="J214" s="116"/>
      <c r="K214" s="116"/>
      <c r="L214" s="116"/>
      <c r="M214" s="116"/>
      <c r="N214" s="116"/>
      <c r="O214" s="116"/>
      <c r="P214" s="116"/>
      <c r="Q214" s="102"/>
      <c r="R214" s="102"/>
      <c r="S214" s="102"/>
      <c r="T214" s="102"/>
      <c r="U214" s="913"/>
      <c r="V214" s="114"/>
      <c r="W214" s="805"/>
      <c r="X214" s="805"/>
      <c r="Y214" s="805"/>
      <c r="Z214" s="914"/>
      <c r="AA214" s="102"/>
      <c r="AB214" s="102"/>
      <c r="AC214" s="102"/>
      <c r="AD214" s="102"/>
      <c r="AE214" s="102"/>
      <c r="AF214" s="102"/>
      <c r="AG214" s="102"/>
      <c r="AH214" s="102"/>
      <c r="AI214" s="102"/>
      <c r="AJ214" s="102"/>
      <c r="AK214" s="102"/>
      <c r="AL214" s="915"/>
      <c r="AM214" s="915"/>
      <c r="AN214" s="114"/>
      <c r="AO214" s="64"/>
      <c r="AP214" s="64"/>
      <c r="AQ214" s="64"/>
      <c r="AR214" s="916"/>
      <c r="AS214" s="916"/>
      <c r="AT214" s="916"/>
      <c r="AU214" s="917"/>
      <c r="AV214" s="917"/>
      <c r="AW214" s="917"/>
      <c r="AX214" s="918"/>
      <c r="AY214" s="916"/>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917"/>
      <c r="CA214" s="917"/>
      <c r="CB214" s="921"/>
      <c r="CC214" s="919"/>
      <c r="CD214" s="919"/>
      <c r="CE214" s="64"/>
      <c r="CF214" s="528"/>
      <c r="CG214" s="529"/>
      <c r="CH214" s="64"/>
      <c r="CI214" s="64"/>
      <c r="CJ214" s="64"/>
      <c r="CK214" s="64"/>
      <c r="CL214" s="64"/>
      <c r="CM214" s="64"/>
      <c r="CN214" s="64"/>
      <c r="CO214" s="64"/>
      <c r="CP214" s="64"/>
      <c r="CQ214" s="64"/>
      <c r="CR214" s="64"/>
      <c r="CS214" s="64"/>
      <c r="CT214" s="64"/>
      <c r="CU214" s="64"/>
      <c r="CV214" s="64"/>
      <c r="CW214" s="64"/>
      <c r="CX214" s="64"/>
      <c r="CY214" s="1011"/>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c r="FC214" s="64"/>
      <c r="FD214" s="64"/>
      <c r="FE214" s="64"/>
      <c r="FF214" s="64"/>
      <c r="FG214" s="64"/>
      <c r="FH214" s="64"/>
      <c r="FI214" s="64"/>
      <c r="FJ214" s="64"/>
      <c r="FK214" s="64"/>
      <c r="FL214" s="64"/>
      <c r="FM214" s="64"/>
      <c r="FN214" s="64"/>
      <c r="FO214" s="64"/>
      <c r="FP214" s="64"/>
      <c r="FQ214" s="64"/>
      <c r="FR214" s="64"/>
      <c r="FS214" s="64"/>
      <c r="FT214" s="64"/>
      <c r="FU214" s="64"/>
      <c r="FV214" s="64"/>
      <c r="FW214" s="64"/>
      <c r="FX214" s="64"/>
      <c r="FY214" s="64"/>
      <c r="FZ214" s="64"/>
      <c r="GA214" s="64"/>
      <c r="GB214" s="64"/>
      <c r="GC214" s="64"/>
      <c r="GD214" s="64"/>
      <c r="GE214" s="64"/>
      <c r="GF214" s="64"/>
      <c r="GG214" s="64"/>
      <c r="GH214" s="64"/>
      <c r="GI214" s="64"/>
      <c r="GJ214" s="64"/>
      <c r="GK214" s="64"/>
      <c r="GL214" s="64"/>
      <c r="GM214" s="64"/>
      <c r="GN214" s="64"/>
      <c r="GO214" s="64"/>
      <c r="GP214" s="64"/>
      <c r="GQ214" s="64"/>
      <c r="GR214" s="64"/>
      <c r="GS214" s="64"/>
      <c r="GT214" s="64"/>
      <c r="GU214" s="64"/>
      <c r="GV214" s="64"/>
      <c r="GW214" s="64"/>
      <c r="GX214" s="64"/>
      <c r="GY214" s="64"/>
      <c r="GZ214" s="64"/>
      <c r="HA214" s="64"/>
      <c r="HB214" s="64"/>
      <c r="HC214" s="64"/>
      <c r="HD214" s="64"/>
      <c r="HE214" s="64"/>
      <c r="HF214" s="64"/>
      <c r="HG214" s="64"/>
      <c r="HH214" s="64"/>
      <c r="HI214" s="64"/>
      <c r="HJ214" s="64"/>
      <c r="HK214" s="64"/>
      <c r="HL214" s="64"/>
      <c r="HM214" s="64"/>
      <c r="HN214" s="64"/>
      <c r="HO214" s="64"/>
      <c r="HP214" s="64"/>
      <c r="HQ214" s="64"/>
      <c r="HR214" s="64"/>
      <c r="HS214" s="64"/>
      <c r="HT214" s="64"/>
      <c r="HU214" s="64"/>
      <c r="HV214" s="64"/>
      <c r="HW214" s="64"/>
      <c r="HX214" s="64"/>
      <c r="HY214" s="64"/>
      <c r="HZ214" s="64"/>
      <c r="IA214" s="64"/>
      <c r="IB214" s="64"/>
      <c r="IC214" s="64"/>
      <c r="ID214" s="64"/>
      <c r="IE214" s="64"/>
      <c r="IF214" s="64"/>
      <c r="IG214" s="64"/>
      <c r="IH214" s="64"/>
      <c r="II214" s="64"/>
      <c r="IJ214" s="64"/>
      <c r="IK214" s="64"/>
      <c r="IL214" s="64"/>
      <c r="IM214" s="64"/>
      <c r="IN214" s="64"/>
      <c r="IO214" s="64"/>
      <c r="IP214" s="64"/>
      <c r="IQ214" s="64"/>
      <c r="IR214" s="64"/>
      <c r="IS214" s="64"/>
      <c r="IT214" s="64"/>
      <c r="IU214" s="64"/>
      <c r="IV214" s="64"/>
      <c r="IW214" s="64"/>
      <c r="IX214" s="64"/>
      <c r="IY214" s="64"/>
      <c r="IZ214" s="64"/>
      <c r="JA214" s="64"/>
      <c r="JB214" s="64"/>
      <c r="JC214" s="64"/>
      <c r="JD214" s="64"/>
      <c r="JE214" s="64"/>
      <c r="JF214" s="64"/>
      <c r="JG214" s="64"/>
      <c r="JH214" s="64"/>
      <c r="JI214" s="64"/>
    </row>
    <row r="215" spans="1:269" s="920" customFormat="1" x14ac:dyDescent="0.2">
      <c r="A215" s="116"/>
      <c r="B215" s="64"/>
      <c r="C215" s="64"/>
      <c r="D215" s="64"/>
      <c r="E215" s="64"/>
      <c r="F215" s="64"/>
      <c r="G215" s="64"/>
      <c r="H215" s="64"/>
      <c r="I215" s="64"/>
      <c r="J215" s="116"/>
      <c r="K215" s="116"/>
      <c r="L215" s="116"/>
      <c r="M215" s="116"/>
      <c r="N215" s="116"/>
      <c r="O215" s="116"/>
      <c r="P215" s="116"/>
      <c r="Q215" s="102"/>
      <c r="R215" s="102"/>
      <c r="S215" s="102"/>
      <c r="T215" s="102"/>
      <c r="U215" s="913"/>
      <c r="V215" s="114"/>
      <c r="W215" s="805"/>
      <c r="X215" s="805"/>
      <c r="Y215" s="805"/>
      <c r="Z215" s="914"/>
      <c r="AA215" s="102"/>
      <c r="AB215" s="102"/>
      <c r="AC215" s="102"/>
      <c r="AD215" s="102"/>
      <c r="AE215" s="102"/>
      <c r="AF215" s="102"/>
      <c r="AG215" s="102"/>
      <c r="AH215" s="102"/>
      <c r="AI215" s="102"/>
      <c r="AJ215" s="102"/>
      <c r="AK215" s="102"/>
      <c r="AL215" s="915"/>
      <c r="AM215" s="915"/>
      <c r="AN215" s="114"/>
      <c r="AO215" s="64"/>
      <c r="AP215" s="64"/>
      <c r="AQ215" s="64"/>
      <c r="AR215" s="916"/>
      <c r="AS215" s="916"/>
      <c r="AT215" s="916"/>
      <c r="AU215" s="917"/>
      <c r="AV215" s="917"/>
      <c r="AW215" s="917"/>
      <c r="AX215" s="918"/>
      <c r="AY215" s="916"/>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917"/>
      <c r="CA215" s="917"/>
      <c r="CB215" s="64"/>
      <c r="CC215" s="919"/>
      <c r="CD215" s="919"/>
      <c r="CE215" s="64"/>
      <c r="CF215" s="528"/>
      <c r="CG215" s="529"/>
      <c r="CH215" s="64"/>
      <c r="CI215" s="64"/>
      <c r="CJ215" s="64"/>
      <c r="CK215" s="64"/>
      <c r="CL215" s="64"/>
      <c r="CM215" s="64"/>
      <c r="CN215" s="64"/>
      <c r="CO215" s="64"/>
      <c r="CP215" s="64"/>
      <c r="CQ215" s="64"/>
      <c r="CR215" s="64"/>
      <c r="CS215" s="64"/>
      <c r="CT215" s="64"/>
      <c r="CU215" s="64"/>
      <c r="CV215" s="64"/>
      <c r="CW215" s="64"/>
      <c r="CX215" s="64"/>
      <c r="CY215" s="1011"/>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c r="FC215" s="64"/>
      <c r="FD215" s="64"/>
      <c r="FE215" s="64"/>
      <c r="FF215" s="64"/>
      <c r="FG215" s="64"/>
      <c r="FH215" s="64"/>
      <c r="FI215" s="64"/>
      <c r="FJ215" s="64"/>
      <c r="FK215" s="64"/>
      <c r="FL215" s="64"/>
      <c r="FM215" s="64"/>
      <c r="FN215" s="64"/>
      <c r="FO215" s="64"/>
      <c r="FP215" s="64"/>
      <c r="FQ215" s="64"/>
      <c r="FR215" s="64"/>
      <c r="FS215" s="64"/>
      <c r="FT215" s="64"/>
      <c r="FU215" s="64"/>
      <c r="FV215" s="64"/>
      <c r="FW215" s="64"/>
      <c r="FX215" s="64"/>
      <c r="FY215" s="64"/>
      <c r="FZ215" s="64"/>
      <c r="GA215" s="64"/>
      <c r="GB215" s="64"/>
      <c r="GC215" s="64"/>
      <c r="GD215" s="64"/>
      <c r="GE215" s="64"/>
      <c r="GF215" s="64"/>
      <c r="GG215" s="64"/>
      <c r="GH215" s="64"/>
      <c r="GI215" s="64"/>
      <c r="GJ215" s="64"/>
      <c r="GK215" s="64"/>
      <c r="GL215" s="64"/>
      <c r="GM215" s="64"/>
      <c r="GN215" s="64"/>
      <c r="GO215" s="64"/>
      <c r="GP215" s="64"/>
      <c r="GQ215" s="64"/>
      <c r="GR215" s="64"/>
      <c r="GS215" s="64"/>
      <c r="GT215" s="64"/>
      <c r="GU215" s="64"/>
      <c r="GV215" s="64"/>
      <c r="GW215" s="64"/>
      <c r="GX215" s="64"/>
      <c r="GY215" s="64"/>
      <c r="GZ215" s="64"/>
      <c r="HA215" s="64"/>
      <c r="HB215" s="64"/>
      <c r="HC215" s="64"/>
      <c r="HD215" s="64"/>
      <c r="HE215" s="64"/>
      <c r="HF215" s="64"/>
      <c r="HG215" s="64"/>
      <c r="HH215" s="64"/>
      <c r="HI215" s="64"/>
      <c r="HJ215" s="64"/>
      <c r="HK215" s="64"/>
      <c r="HL215" s="64"/>
      <c r="HM215" s="64"/>
      <c r="HN215" s="64"/>
      <c r="HO215" s="64"/>
      <c r="HP215" s="64"/>
      <c r="HQ215" s="64"/>
      <c r="HR215" s="64"/>
      <c r="HS215" s="64"/>
      <c r="HT215" s="64"/>
      <c r="HU215" s="64"/>
      <c r="HV215" s="64"/>
      <c r="HW215" s="64"/>
      <c r="HX215" s="64"/>
      <c r="HY215" s="64"/>
      <c r="HZ215" s="64"/>
      <c r="IA215" s="64"/>
      <c r="IB215" s="64"/>
      <c r="IC215" s="64"/>
      <c r="ID215" s="64"/>
      <c r="IE215" s="64"/>
      <c r="IF215" s="64"/>
      <c r="IG215" s="64"/>
      <c r="IH215" s="64"/>
      <c r="II215" s="64"/>
      <c r="IJ215" s="64"/>
      <c r="IK215" s="64"/>
      <c r="IL215" s="64"/>
      <c r="IM215" s="64"/>
      <c r="IN215" s="64"/>
      <c r="IO215" s="64"/>
      <c r="IP215" s="64"/>
      <c r="IQ215" s="64"/>
      <c r="IR215" s="64"/>
      <c r="IS215" s="64"/>
      <c r="IT215" s="64"/>
      <c r="IU215" s="64"/>
      <c r="IV215" s="64"/>
      <c r="IW215" s="64"/>
      <c r="IX215" s="64"/>
      <c r="IY215" s="64"/>
      <c r="IZ215" s="64"/>
      <c r="JA215" s="64"/>
      <c r="JB215" s="64"/>
      <c r="JC215" s="64"/>
      <c r="JD215" s="64"/>
      <c r="JE215" s="64"/>
      <c r="JF215" s="64"/>
      <c r="JG215" s="64"/>
      <c r="JH215" s="64"/>
      <c r="JI215" s="64"/>
    </row>
    <row r="216" spans="1:269" s="920" customFormat="1" x14ac:dyDescent="0.2">
      <c r="A216" s="116"/>
      <c r="B216" s="64"/>
      <c r="C216" s="64"/>
      <c r="D216" s="64"/>
      <c r="E216" s="64"/>
      <c r="F216" s="64"/>
      <c r="G216" s="64"/>
      <c r="H216" s="64"/>
      <c r="I216" s="64"/>
      <c r="J216" s="116"/>
      <c r="K216" s="116"/>
      <c r="L216" s="116"/>
      <c r="M216" s="116"/>
      <c r="N216" s="116"/>
      <c r="O216" s="116"/>
      <c r="P216" s="116"/>
      <c r="Q216" s="102"/>
      <c r="R216" s="102"/>
      <c r="S216" s="102"/>
      <c r="T216" s="102"/>
      <c r="U216" s="913"/>
      <c r="V216" s="114"/>
      <c r="W216" s="805"/>
      <c r="X216" s="805"/>
      <c r="Y216" s="805"/>
      <c r="Z216" s="914"/>
      <c r="AA216" s="102"/>
      <c r="AB216" s="102"/>
      <c r="AC216" s="102"/>
      <c r="AD216" s="102"/>
      <c r="AE216" s="102"/>
      <c r="AF216" s="102"/>
      <c r="AG216" s="102"/>
      <c r="AH216" s="102"/>
      <c r="AI216" s="102"/>
      <c r="AJ216" s="102"/>
      <c r="AK216" s="102"/>
      <c r="AL216" s="915"/>
      <c r="AM216" s="915"/>
      <c r="AN216" s="114"/>
      <c r="AO216" s="64"/>
      <c r="AP216" s="64"/>
      <c r="AQ216" s="64"/>
      <c r="AR216" s="916"/>
      <c r="AS216" s="916"/>
      <c r="AT216" s="916"/>
      <c r="AU216" s="917"/>
      <c r="AV216" s="917"/>
      <c r="AW216" s="917"/>
      <c r="AX216" s="918"/>
      <c r="AY216" s="916"/>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917"/>
      <c r="CA216" s="917"/>
      <c r="CB216" s="64"/>
      <c r="CC216" s="919"/>
      <c r="CD216" s="919"/>
      <c r="CE216" s="64"/>
      <c r="CF216" s="528"/>
      <c r="CG216" s="529"/>
      <c r="CH216" s="64"/>
      <c r="CI216" s="64"/>
      <c r="CJ216" s="64"/>
      <c r="CK216" s="64"/>
      <c r="CL216" s="64"/>
      <c r="CM216" s="64"/>
      <c r="CN216" s="64"/>
      <c r="CO216" s="64"/>
      <c r="CP216" s="64"/>
      <c r="CQ216" s="64"/>
      <c r="CR216" s="64"/>
      <c r="CS216" s="64"/>
      <c r="CT216" s="64"/>
      <c r="CU216" s="64"/>
      <c r="CV216" s="64"/>
      <c r="CW216" s="64"/>
      <c r="CX216" s="64"/>
      <c r="CY216" s="1011"/>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c r="FC216" s="64"/>
      <c r="FD216" s="64"/>
      <c r="FE216" s="64"/>
      <c r="FF216" s="64"/>
      <c r="FG216" s="64"/>
      <c r="FH216" s="64"/>
      <c r="FI216" s="64"/>
      <c r="FJ216" s="64"/>
      <c r="FK216" s="64"/>
      <c r="FL216" s="64"/>
      <c r="FM216" s="64"/>
      <c r="FN216" s="64"/>
      <c r="FO216" s="64"/>
      <c r="FP216" s="64"/>
      <c r="FQ216" s="64"/>
      <c r="FR216" s="64"/>
      <c r="FS216" s="64"/>
      <c r="FT216" s="64"/>
      <c r="FU216" s="64"/>
      <c r="FV216" s="64"/>
      <c r="FW216" s="64"/>
      <c r="FX216" s="64"/>
      <c r="FY216" s="64"/>
      <c r="FZ216" s="64"/>
      <c r="GA216" s="64"/>
      <c r="GB216" s="64"/>
      <c r="GC216" s="64"/>
      <c r="GD216" s="64"/>
      <c r="GE216" s="64"/>
      <c r="GF216" s="64"/>
      <c r="GG216" s="64"/>
      <c r="GH216" s="64"/>
      <c r="GI216" s="64"/>
      <c r="GJ216" s="64"/>
      <c r="GK216" s="64"/>
      <c r="GL216" s="64"/>
      <c r="GM216" s="64"/>
      <c r="GN216" s="64"/>
      <c r="GO216" s="64"/>
      <c r="GP216" s="64"/>
      <c r="GQ216" s="64"/>
      <c r="GR216" s="64"/>
      <c r="GS216" s="64"/>
      <c r="GT216" s="64"/>
      <c r="GU216" s="64"/>
      <c r="GV216" s="64"/>
      <c r="GW216" s="64"/>
      <c r="GX216" s="64"/>
      <c r="GY216" s="64"/>
      <c r="GZ216" s="64"/>
      <c r="HA216" s="64"/>
      <c r="HB216" s="64"/>
      <c r="HC216" s="64"/>
      <c r="HD216" s="64"/>
      <c r="HE216" s="64"/>
      <c r="HF216" s="64"/>
      <c r="HG216" s="64"/>
      <c r="HH216" s="64"/>
      <c r="HI216" s="64"/>
      <c r="HJ216" s="64"/>
      <c r="HK216" s="64"/>
      <c r="HL216" s="64"/>
      <c r="HM216" s="64"/>
      <c r="HN216" s="64"/>
      <c r="HO216" s="64"/>
      <c r="HP216" s="64"/>
      <c r="HQ216" s="64"/>
      <c r="HR216" s="64"/>
      <c r="HS216" s="64"/>
      <c r="HT216" s="64"/>
      <c r="HU216" s="64"/>
      <c r="HV216" s="64"/>
      <c r="HW216" s="64"/>
      <c r="HX216" s="64"/>
      <c r="HY216" s="64"/>
      <c r="HZ216" s="64"/>
      <c r="IA216" s="64"/>
      <c r="IB216" s="64"/>
      <c r="IC216" s="64"/>
      <c r="ID216" s="64"/>
      <c r="IE216" s="64"/>
      <c r="IF216" s="64"/>
      <c r="IG216" s="64"/>
      <c r="IH216" s="64"/>
      <c r="II216" s="64"/>
      <c r="IJ216" s="64"/>
      <c r="IK216" s="64"/>
      <c r="IL216" s="64"/>
      <c r="IM216" s="64"/>
      <c r="IN216" s="64"/>
      <c r="IO216" s="64"/>
      <c r="IP216" s="64"/>
      <c r="IQ216" s="64"/>
      <c r="IR216" s="64"/>
      <c r="IS216" s="64"/>
      <c r="IT216" s="64"/>
      <c r="IU216" s="64"/>
      <c r="IV216" s="64"/>
      <c r="IW216" s="64"/>
      <c r="IX216" s="64"/>
      <c r="IY216" s="64"/>
      <c r="IZ216" s="64"/>
      <c r="JA216" s="64"/>
      <c r="JB216" s="64"/>
      <c r="JC216" s="64"/>
      <c r="JD216" s="64"/>
      <c r="JE216" s="64"/>
      <c r="JF216" s="64"/>
      <c r="JG216" s="64"/>
      <c r="JH216" s="64"/>
      <c r="JI216" s="64"/>
    </row>
    <row r="217" spans="1:269" s="920" customFormat="1" x14ac:dyDescent="0.2">
      <c r="A217" s="116"/>
      <c r="B217" s="64"/>
      <c r="C217" s="64"/>
      <c r="D217" s="64"/>
      <c r="E217" s="64"/>
      <c r="F217" s="64"/>
      <c r="G217" s="64"/>
      <c r="H217" s="64"/>
      <c r="I217" s="64"/>
      <c r="J217" s="116"/>
      <c r="K217" s="116"/>
      <c r="L217" s="116"/>
      <c r="M217" s="116"/>
      <c r="N217" s="116"/>
      <c r="O217" s="116"/>
      <c r="P217" s="116"/>
      <c r="Q217" s="102"/>
      <c r="R217" s="102"/>
      <c r="S217" s="102"/>
      <c r="T217" s="102"/>
      <c r="U217" s="913"/>
      <c r="V217" s="114"/>
      <c r="W217" s="805"/>
      <c r="X217" s="805"/>
      <c r="Y217" s="805"/>
      <c r="Z217" s="914"/>
      <c r="AA217" s="102"/>
      <c r="AB217" s="102"/>
      <c r="AC217" s="102"/>
      <c r="AD217" s="102"/>
      <c r="AE217" s="102"/>
      <c r="AF217" s="102"/>
      <c r="AG217" s="102"/>
      <c r="AH217" s="102"/>
      <c r="AI217" s="102"/>
      <c r="AJ217" s="102"/>
      <c r="AK217" s="102"/>
      <c r="AL217" s="915"/>
      <c r="AM217" s="915"/>
      <c r="AN217" s="114"/>
      <c r="AO217" s="64"/>
      <c r="AP217" s="64"/>
      <c r="AQ217" s="64"/>
      <c r="AR217" s="916"/>
      <c r="AS217" s="916"/>
      <c r="AT217" s="916"/>
      <c r="AU217" s="917"/>
      <c r="AV217" s="917"/>
      <c r="AW217" s="917"/>
      <c r="AX217" s="918"/>
      <c r="AY217" s="916"/>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917"/>
      <c r="CA217" s="917"/>
      <c r="CB217" s="64"/>
      <c r="CC217" s="919"/>
      <c r="CD217" s="919"/>
      <c r="CE217" s="64"/>
      <c r="CF217" s="528"/>
      <c r="CG217" s="529"/>
      <c r="CH217" s="64"/>
      <c r="CI217" s="64"/>
      <c r="CJ217" s="64"/>
      <c r="CK217" s="64"/>
      <c r="CL217" s="64"/>
      <c r="CM217" s="64"/>
      <c r="CN217" s="64"/>
      <c r="CO217" s="64"/>
      <c r="CP217" s="64"/>
      <c r="CQ217" s="64"/>
      <c r="CR217" s="64"/>
      <c r="CS217" s="64"/>
      <c r="CT217" s="64"/>
      <c r="CU217" s="64"/>
      <c r="CV217" s="64"/>
      <c r="CW217" s="64"/>
      <c r="CX217" s="64"/>
      <c r="CY217" s="1011"/>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c r="FC217" s="64"/>
      <c r="FD217" s="64"/>
      <c r="FE217" s="64"/>
      <c r="FF217" s="64"/>
      <c r="FG217" s="64"/>
      <c r="FH217" s="64"/>
      <c r="FI217" s="64"/>
      <c r="FJ217" s="64"/>
      <c r="FK217" s="64"/>
      <c r="FL217" s="64"/>
      <c r="FM217" s="64"/>
      <c r="FN217" s="64"/>
      <c r="FO217" s="64"/>
      <c r="FP217" s="64"/>
      <c r="FQ217" s="64"/>
      <c r="FR217" s="64"/>
      <c r="FS217" s="64"/>
      <c r="FT217" s="64"/>
      <c r="FU217" s="64"/>
      <c r="FV217" s="64"/>
      <c r="FW217" s="64"/>
      <c r="FX217" s="64"/>
      <c r="FY217" s="64"/>
      <c r="FZ217" s="64"/>
      <c r="GA217" s="64"/>
      <c r="GB217" s="64"/>
      <c r="GC217" s="64"/>
      <c r="GD217" s="64"/>
      <c r="GE217" s="64"/>
      <c r="GF217" s="64"/>
      <c r="GG217" s="64"/>
      <c r="GH217" s="64"/>
      <c r="GI217" s="64"/>
      <c r="GJ217" s="64"/>
      <c r="GK217" s="64"/>
      <c r="GL217" s="64"/>
      <c r="GM217" s="64"/>
      <c r="GN217" s="64"/>
      <c r="GO217" s="64"/>
      <c r="GP217" s="64"/>
      <c r="GQ217" s="64"/>
      <c r="GR217" s="64"/>
      <c r="GS217" s="64"/>
      <c r="GT217" s="64"/>
      <c r="GU217" s="64"/>
      <c r="GV217" s="64"/>
      <c r="GW217" s="64"/>
      <c r="GX217" s="64"/>
      <c r="GY217" s="64"/>
      <c r="GZ217" s="64"/>
      <c r="HA217" s="64"/>
      <c r="HB217" s="64"/>
      <c r="HC217" s="64"/>
      <c r="HD217" s="64"/>
      <c r="HE217" s="64"/>
      <c r="HF217" s="64"/>
      <c r="HG217" s="64"/>
      <c r="HH217" s="64"/>
      <c r="HI217" s="64"/>
      <c r="HJ217" s="64"/>
      <c r="HK217" s="64"/>
      <c r="HL217" s="64"/>
      <c r="HM217" s="64"/>
      <c r="HN217" s="64"/>
      <c r="HO217" s="64"/>
      <c r="HP217" s="64"/>
      <c r="HQ217" s="64"/>
      <c r="HR217" s="64"/>
      <c r="HS217" s="64"/>
      <c r="HT217" s="64"/>
      <c r="HU217" s="64"/>
      <c r="HV217" s="64"/>
      <c r="HW217" s="64"/>
      <c r="HX217" s="64"/>
      <c r="HY217" s="64"/>
      <c r="HZ217" s="64"/>
      <c r="IA217" s="64"/>
      <c r="IB217" s="64"/>
      <c r="IC217" s="64"/>
      <c r="ID217" s="64"/>
      <c r="IE217" s="64"/>
      <c r="IF217" s="64"/>
      <c r="IG217" s="64"/>
      <c r="IH217" s="64"/>
      <c r="II217" s="64"/>
      <c r="IJ217" s="64"/>
      <c r="IK217" s="64"/>
      <c r="IL217" s="64"/>
      <c r="IM217" s="64"/>
      <c r="IN217" s="64"/>
      <c r="IO217" s="64"/>
      <c r="IP217" s="64"/>
      <c r="IQ217" s="64"/>
      <c r="IR217" s="64"/>
      <c r="IS217" s="64"/>
      <c r="IT217" s="64"/>
      <c r="IU217" s="64"/>
      <c r="IV217" s="64"/>
      <c r="IW217" s="64"/>
      <c r="IX217" s="64"/>
      <c r="IY217" s="64"/>
      <c r="IZ217" s="64"/>
      <c r="JA217" s="64"/>
      <c r="JB217" s="64"/>
      <c r="JC217" s="64"/>
      <c r="JD217" s="64"/>
      <c r="JE217" s="64"/>
      <c r="JF217" s="64"/>
      <c r="JG217" s="64"/>
      <c r="JH217" s="64"/>
      <c r="JI217" s="64"/>
    </row>
    <row r="218" spans="1:269" s="920" customFormat="1" x14ac:dyDescent="0.2">
      <c r="A218" s="116"/>
      <c r="B218" s="64"/>
      <c r="C218" s="64"/>
      <c r="D218" s="64"/>
      <c r="E218" s="64"/>
      <c r="F218" s="64"/>
      <c r="G218" s="64"/>
      <c r="H218" s="64"/>
      <c r="I218" s="64"/>
      <c r="J218" s="116"/>
      <c r="K218" s="116"/>
      <c r="L218" s="116"/>
      <c r="M218" s="116"/>
      <c r="N218" s="116"/>
      <c r="O218" s="116"/>
      <c r="P218" s="116"/>
      <c r="Q218" s="102"/>
      <c r="R218" s="102"/>
      <c r="S218" s="102"/>
      <c r="T218" s="102"/>
      <c r="U218" s="913"/>
      <c r="V218" s="114"/>
      <c r="W218" s="805"/>
      <c r="X218" s="805"/>
      <c r="Y218" s="805"/>
      <c r="Z218" s="914"/>
      <c r="AA218" s="102"/>
      <c r="AB218" s="102"/>
      <c r="AC218" s="102"/>
      <c r="AD218" s="102"/>
      <c r="AE218" s="102"/>
      <c r="AF218" s="102"/>
      <c r="AG218" s="102"/>
      <c r="AH218" s="102"/>
      <c r="AI218" s="102"/>
      <c r="AJ218" s="102"/>
      <c r="AK218" s="102"/>
      <c r="AL218" s="915"/>
      <c r="AM218" s="915"/>
      <c r="AN218" s="114"/>
      <c r="AO218" s="64"/>
      <c r="AP218" s="64"/>
      <c r="AQ218" s="64"/>
      <c r="AR218" s="916"/>
      <c r="AS218" s="916"/>
      <c r="AT218" s="916"/>
      <c r="AU218" s="917"/>
      <c r="AV218" s="917"/>
      <c r="AW218" s="917"/>
      <c r="AX218" s="918"/>
      <c r="AY218" s="916"/>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917"/>
      <c r="CA218" s="917"/>
      <c r="CB218" s="64"/>
      <c r="CC218" s="919"/>
      <c r="CD218" s="919"/>
      <c r="CE218" s="64"/>
      <c r="CF218" s="528"/>
      <c r="CG218" s="529"/>
      <c r="CH218" s="64"/>
      <c r="CI218" s="64"/>
      <c r="CJ218" s="64"/>
      <c r="CK218" s="64"/>
      <c r="CL218" s="64"/>
      <c r="CM218" s="64"/>
      <c r="CN218" s="64"/>
      <c r="CO218" s="64"/>
      <c r="CP218" s="64"/>
      <c r="CQ218" s="64"/>
      <c r="CR218" s="64"/>
      <c r="CS218" s="64"/>
      <c r="CT218" s="64"/>
      <c r="CU218" s="64"/>
      <c r="CV218" s="64"/>
      <c r="CW218" s="64"/>
      <c r="CX218" s="64"/>
      <c r="CY218" s="1011"/>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c r="FC218" s="64"/>
      <c r="FD218" s="64"/>
      <c r="FE218" s="64"/>
      <c r="FF218" s="64"/>
      <c r="FG218" s="64"/>
      <c r="FH218" s="64"/>
      <c r="FI218" s="64"/>
      <c r="FJ218" s="64"/>
      <c r="FK218" s="64"/>
      <c r="FL218" s="64"/>
      <c r="FM218" s="64"/>
      <c r="FN218" s="64"/>
      <c r="FO218" s="64"/>
      <c r="FP218" s="64"/>
      <c r="FQ218" s="64"/>
      <c r="FR218" s="64"/>
      <c r="FS218" s="64"/>
      <c r="FT218" s="64"/>
      <c r="FU218" s="64"/>
      <c r="FV218" s="64"/>
      <c r="FW218" s="64"/>
      <c r="FX218" s="64"/>
      <c r="FY218" s="64"/>
      <c r="FZ218" s="64"/>
      <c r="GA218" s="64"/>
      <c r="GB218" s="64"/>
      <c r="GC218" s="64"/>
      <c r="GD218" s="64"/>
      <c r="GE218" s="64"/>
      <c r="GF218" s="64"/>
      <c r="GG218" s="64"/>
      <c r="GH218" s="64"/>
      <c r="GI218" s="64"/>
      <c r="GJ218" s="64"/>
      <c r="GK218" s="64"/>
      <c r="GL218" s="64"/>
      <c r="GM218" s="64"/>
      <c r="GN218" s="64"/>
      <c r="GO218" s="64"/>
      <c r="GP218" s="64"/>
      <c r="GQ218" s="64"/>
      <c r="GR218" s="64"/>
      <c r="GS218" s="64"/>
      <c r="GT218" s="64"/>
      <c r="GU218" s="64"/>
      <c r="GV218" s="64"/>
      <c r="GW218" s="64"/>
      <c r="GX218" s="64"/>
      <c r="GY218" s="64"/>
      <c r="GZ218" s="64"/>
      <c r="HA218" s="64"/>
      <c r="HB218" s="64"/>
      <c r="HC218" s="64"/>
      <c r="HD218" s="64"/>
      <c r="HE218" s="64"/>
      <c r="HF218" s="64"/>
      <c r="HG218" s="64"/>
      <c r="HH218" s="64"/>
      <c r="HI218" s="64"/>
      <c r="HJ218" s="64"/>
      <c r="HK218" s="64"/>
      <c r="HL218" s="64"/>
      <c r="HM218" s="64"/>
      <c r="HN218" s="64"/>
      <c r="HO218" s="64"/>
      <c r="HP218" s="64"/>
      <c r="HQ218" s="64"/>
      <c r="HR218" s="64"/>
      <c r="HS218" s="64"/>
      <c r="HT218" s="64"/>
      <c r="HU218" s="64"/>
      <c r="HV218" s="64"/>
      <c r="HW218" s="64"/>
      <c r="HX218" s="64"/>
      <c r="HY218" s="64"/>
      <c r="HZ218" s="64"/>
      <c r="IA218" s="64"/>
      <c r="IB218" s="64"/>
      <c r="IC218" s="64"/>
      <c r="ID218" s="64"/>
      <c r="IE218" s="64"/>
      <c r="IF218" s="64"/>
      <c r="IG218" s="64"/>
      <c r="IH218" s="64"/>
      <c r="II218" s="64"/>
      <c r="IJ218" s="64"/>
      <c r="IK218" s="64"/>
      <c r="IL218" s="64"/>
      <c r="IM218" s="64"/>
      <c r="IN218" s="64"/>
      <c r="IO218" s="64"/>
      <c r="IP218" s="64"/>
      <c r="IQ218" s="64"/>
      <c r="IR218" s="64"/>
      <c r="IS218" s="64"/>
      <c r="IT218" s="64"/>
      <c r="IU218" s="64"/>
      <c r="IV218" s="64"/>
      <c r="IW218" s="64"/>
      <c r="IX218" s="64"/>
      <c r="IY218" s="64"/>
      <c r="IZ218" s="64"/>
      <c r="JA218" s="64"/>
      <c r="JB218" s="64"/>
      <c r="JC218" s="64"/>
      <c r="JD218" s="64"/>
      <c r="JE218" s="64"/>
      <c r="JF218" s="64"/>
      <c r="JG218" s="64"/>
      <c r="JH218" s="64"/>
      <c r="JI218" s="64"/>
    </row>
    <row r="219" spans="1:269" s="920" customFormat="1" x14ac:dyDescent="0.2">
      <c r="A219" s="116"/>
      <c r="B219" s="64"/>
      <c r="C219" s="64"/>
      <c r="D219" s="64"/>
      <c r="E219" s="64"/>
      <c r="F219" s="64"/>
      <c r="G219" s="64"/>
      <c r="H219" s="64"/>
      <c r="I219" s="64"/>
      <c r="J219" s="116"/>
      <c r="K219" s="116"/>
      <c r="L219" s="116"/>
      <c r="M219" s="116"/>
      <c r="N219" s="116"/>
      <c r="O219" s="116"/>
      <c r="P219" s="116"/>
      <c r="Q219" s="102"/>
      <c r="R219" s="102"/>
      <c r="S219" s="102"/>
      <c r="T219" s="102"/>
      <c r="U219" s="913"/>
      <c r="V219" s="114"/>
      <c r="W219" s="805"/>
      <c r="X219" s="805"/>
      <c r="Y219" s="805"/>
      <c r="Z219" s="914"/>
      <c r="AA219" s="102"/>
      <c r="AB219" s="102"/>
      <c r="AC219" s="102"/>
      <c r="AD219" s="102"/>
      <c r="AE219" s="102"/>
      <c r="AF219" s="102"/>
      <c r="AG219" s="102"/>
      <c r="AH219" s="102"/>
      <c r="AI219" s="102"/>
      <c r="AJ219" s="102"/>
      <c r="AK219" s="102"/>
      <c r="AL219" s="915"/>
      <c r="AM219" s="915"/>
      <c r="AN219" s="114"/>
      <c r="AO219" s="64"/>
      <c r="AP219" s="64"/>
      <c r="AQ219" s="64"/>
      <c r="AR219" s="916"/>
      <c r="AS219" s="916"/>
      <c r="AT219" s="916"/>
      <c r="AU219" s="917"/>
      <c r="AV219" s="917"/>
      <c r="AW219" s="917"/>
      <c r="AX219" s="918"/>
      <c r="AY219" s="916"/>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917"/>
      <c r="CA219" s="917"/>
      <c r="CB219" s="64"/>
      <c r="CC219" s="919"/>
      <c r="CD219" s="919"/>
      <c r="CE219" s="64"/>
      <c r="CF219" s="528"/>
      <c r="CG219" s="529"/>
      <c r="CH219" s="64"/>
      <c r="CI219" s="64"/>
      <c r="CJ219" s="64"/>
      <c r="CK219" s="64"/>
      <c r="CL219" s="64"/>
      <c r="CM219" s="64"/>
      <c r="CN219" s="64"/>
      <c r="CO219" s="64"/>
      <c r="CP219" s="64"/>
      <c r="CQ219" s="64"/>
      <c r="CR219" s="64"/>
      <c r="CS219" s="64"/>
      <c r="CT219" s="64"/>
      <c r="CU219" s="64"/>
      <c r="CV219" s="64"/>
      <c r="CW219" s="64"/>
      <c r="CX219" s="64"/>
      <c r="CY219" s="1011"/>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c r="FC219" s="64"/>
      <c r="FD219" s="64"/>
      <c r="FE219" s="64"/>
      <c r="FF219" s="64"/>
      <c r="FG219" s="64"/>
      <c r="FH219" s="64"/>
      <c r="FI219" s="64"/>
      <c r="FJ219" s="64"/>
      <c r="FK219" s="64"/>
      <c r="FL219" s="64"/>
      <c r="FM219" s="64"/>
      <c r="FN219" s="64"/>
      <c r="FO219" s="64"/>
      <c r="FP219" s="64"/>
      <c r="FQ219" s="64"/>
      <c r="FR219" s="64"/>
      <c r="FS219" s="64"/>
      <c r="FT219" s="64"/>
      <c r="FU219" s="64"/>
      <c r="FV219" s="64"/>
      <c r="FW219" s="64"/>
      <c r="FX219" s="64"/>
      <c r="FY219" s="64"/>
      <c r="FZ219" s="64"/>
      <c r="GA219" s="64"/>
      <c r="GB219" s="64"/>
      <c r="GC219" s="64"/>
      <c r="GD219" s="64"/>
      <c r="GE219" s="64"/>
      <c r="GF219" s="64"/>
      <c r="GG219" s="64"/>
      <c r="GH219" s="64"/>
      <c r="GI219" s="64"/>
      <c r="GJ219" s="64"/>
      <c r="GK219" s="64"/>
      <c r="GL219" s="64"/>
      <c r="GM219" s="64"/>
      <c r="GN219" s="64"/>
      <c r="GO219" s="64"/>
      <c r="GP219" s="64"/>
      <c r="GQ219" s="64"/>
      <c r="GR219" s="64"/>
      <c r="GS219" s="64"/>
      <c r="GT219" s="64"/>
      <c r="GU219" s="64"/>
      <c r="GV219" s="64"/>
      <c r="GW219" s="64"/>
      <c r="GX219" s="64"/>
      <c r="GY219" s="64"/>
      <c r="GZ219" s="64"/>
      <c r="HA219" s="64"/>
      <c r="HB219" s="64"/>
      <c r="HC219" s="64"/>
      <c r="HD219" s="64"/>
      <c r="HE219" s="64"/>
      <c r="HF219" s="64"/>
      <c r="HG219" s="64"/>
      <c r="HH219" s="64"/>
      <c r="HI219" s="64"/>
      <c r="HJ219" s="64"/>
      <c r="HK219" s="64"/>
      <c r="HL219" s="64"/>
      <c r="HM219" s="64"/>
      <c r="HN219" s="64"/>
      <c r="HO219" s="64"/>
      <c r="HP219" s="64"/>
      <c r="HQ219" s="64"/>
      <c r="HR219" s="64"/>
      <c r="HS219" s="64"/>
      <c r="HT219" s="64"/>
      <c r="HU219" s="64"/>
      <c r="HV219" s="64"/>
      <c r="HW219" s="64"/>
      <c r="HX219" s="64"/>
      <c r="HY219" s="64"/>
      <c r="HZ219" s="64"/>
      <c r="IA219" s="64"/>
      <c r="IB219" s="64"/>
      <c r="IC219" s="64"/>
      <c r="ID219" s="64"/>
      <c r="IE219" s="64"/>
      <c r="IF219" s="64"/>
      <c r="IG219" s="64"/>
      <c r="IH219" s="64"/>
      <c r="II219" s="64"/>
      <c r="IJ219" s="64"/>
      <c r="IK219" s="64"/>
      <c r="IL219" s="64"/>
      <c r="IM219" s="64"/>
      <c r="IN219" s="64"/>
      <c r="IO219" s="64"/>
      <c r="IP219" s="64"/>
      <c r="IQ219" s="64"/>
      <c r="IR219" s="64"/>
      <c r="IS219" s="64"/>
      <c r="IT219" s="64"/>
      <c r="IU219" s="64"/>
      <c r="IV219" s="64"/>
      <c r="IW219" s="64"/>
      <c r="IX219" s="64"/>
      <c r="IY219" s="64"/>
      <c r="IZ219" s="64"/>
      <c r="JA219" s="64"/>
      <c r="JB219" s="64"/>
      <c r="JC219" s="64"/>
      <c r="JD219" s="64"/>
      <c r="JE219" s="64"/>
      <c r="JF219" s="64"/>
      <c r="JG219" s="64"/>
      <c r="JH219" s="64"/>
      <c r="JI219" s="64"/>
    </row>
    <row r="220" spans="1:269" s="920" customFormat="1" x14ac:dyDescent="0.2">
      <c r="A220" s="116"/>
      <c r="B220" s="64"/>
      <c r="C220" s="64"/>
      <c r="D220" s="64"/>
      <c r="E220" s="64"/>
      <c r="F220" s="64"/>
      <c r="G220" s="64"/>
      <c r="H220" s="64"/>
      <c r="I220" s="64"/>
      <c r="J220" s="116"/>
      <c r="K220" s="116"/>
      <c r="L220" s="116"/>
      <c r="M220" s="116"/>
      <c r="N220" s="116"/>
      <c r="O220" s="116"/>
      <c r="P220" s="116"/>
      <c r="Q220" s="102"/>
      <c r="R220" s="102"/>
      <c r="S220" s="102"/>
      <c r="T220" s="102"/>
      <c r="U220" s="913"/>
      <c r="V220" s="114"/>
      <c r="W220" s="805"/>
      <c r="X220" s="805"/>
      <c r="Y220" s="805"/>
      <c r="Z220" s="914"/>
      <c r="AA220" s="102"/>
      <c r="AB220" s="102"/>
      <c r="AC220" s="102"/>
      <c r="AD220" s="102"/>
      <c r="AE220" s="102"/>
      <c r="AF220" s="102"/>
      <c r="AG220" s="102"/>
      <c r="AH220" s="102"/>
      <c r="AI220" s="102"/>
      <c r="AJ220" s="102"/>
      <c r="AK220" s="102"/>
      <c r="AL220" s="915"/>
      <c r="AM220" s="915"/>
      <c r="AN220" s="114"/>
      <c r="AO220" s="64"/>
      <c r="AP220" s="64"/>
      <c r="AQ220" s="64"/>
      <c r="AR220" s="916"/>
      <c r="AS220" s="916"/>
      <c r="AT220" s="916"/>
      <c r="AU220" s="917"/>
      <c r="AV220" s="917"/>
      <c r="AW220" s="917"/>
      <c r="AX220" s="918"/>
      <c r="AY220" s="916"/>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917"/>
      <c r="CA220" s="917"/>
      <c r="CB220" s="64"/>
      <c r="CC220" s="919"/>
      <c r="CD220" s="919"/>
      <c r="CE220" s="64"/>
      <c r="CF220" s="528"/>
      <c r="CG220" s="529"/>
      <c r="CH220" s="64"/>
      <c r="CI220" s="64"/>
      <c r="CJ220" s="64"/>
      <c r="CK220" s="64"/>
      <c r="CL220" s="64"/>
      <c r="CM220" s="64"/>
      <c r="CN220" s="64"/>
      <c r="CO220" s="64"/>
      <c r="CP220" s="64"/>
      <c r="CQ220" s="64"/>
      <c r="CR220" s="64"/>
      <c r="CS220" s="64"/>
      <c r="CT220" s="64"/>
      <c r="CU220" s="64"/>
      <c r="CV220" s="64"/>
      <c r="CW220" s="64"/>
      <c r="CX220" s="64"/>
      <c r="CY220" s="1011"/>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c r="FC220" s="64"/>
      <c r="FD220" s="64"/>
      <c r="FE220" s="64"/>
      <c r="FF220" s="64"/>
      <c r="FG220" s="64"/>
      <c r="FH220" s="64"/>
      <c r="FI220" s="64"/>
      <c r="FJ220" s="64"/>
      <c r="FK220" s="64"/>
      <c r="FL220" s="64"/>
      <c r="FM220" s="64"/>
      <c r="FN220" s="64"/>
      <c r="FO220" s="64"/>
      <c r="FP220" s="64"/>
      <c r="FQ220" s="64"/>
      <c r="FR220" s="64"/>
      <c r="FS220" s="64"/>
      <c r="FT220" s="64"/>
      <c r="FU220" s="64"/>
      <c r="FV220" s="64"/>
      <c r="FW220" s="64"/>
      <c r="FX220" s="64"/>
      <c r="FY220" s="64"/>
      <c r="FZ220" s="64"/>
      <c r="GA220" s="64"/>
      <c r="GB220" s="64"/>
      <c r="GC220" s="64"/>
      <c r="GD220" s="64"/>
      <c r="GE220" s="64"/>
      <c r="GF220" s="64"/>
      <c r="GG220" s="64"/>
      <c r="GH220" s="64"/>
      <c r="GI220" s="64"/>
      <c r="GJ220" s="64"/>
      <c r="GK220" s="64"/>
      <c r="GL220" s="64"/>
      <c r="GM220" s="64"/>
      <c r="GN220" s="64"/>
      <c r="GO220" s="64"/>
      <c r="GP220" s="64"/>
      <c r="GQ220" s="64"/>
      <c r="GR220" s="64"/>
      <c r="GS220" s="64"/>
      <c r="GT220" s="64"/>
      <c r="GU220" s="64"/>
      <c r="GV220" s="64"/>
      <c r="GW220" s="64"/>
      <c r="GX220" s="64"/>
      <c r="GY220" s="64"/>
      <c r="GZ220" s="64"/>
      <c r="HA220" s="64"/>
      <c r="HB220" s="64"/>
      <c r="HC220" s="64"/>
      <c r="HD220" s="64"/>
      <c r="HE220" s="64"/>
      <c r="HF220" s="64"/>
      <c r="HG220" s="64"/>
      <c r="HH220" s="64"/>
      <c r="HI220" s="64"/>
      <c r="HJ220" s="64"/>
      <c r="HK220" s="64"/>
      <c r="HL220" s="64"/>
      <c r="HM220" s="64"/>
      <c r="HN220" s="64"/>
      <c r="HO220" s="64"/>
      <c r="HP220" s="64"/>
      <c r="HQ220" s="64"/>
      <c r="HR220" s="64"/>
      <c r="HS220" s="64"/>
      <c r="HT220" s="64"/>
      <c r="HU220" s="64"/>
      <c r="HV220" s="64"/>
      <c r="HW220" s="64"/>
      <c r="HX220" s="64"/>
      <c r="HY220" s="64"/>
      <c r="HZ220" s="64"/>
      <c r="IA220" s="64"/>
      <c r="IB220" s="64"/>
      <c r="IC220" s="64"/>
      <c r="ID220" s="64"/>
      <c r="IE220" s="64"/>
      <c r="IF220" s="64"/>
      <c r="IG220" s="64"/>
      <c r="IH220" s="64"/>
      <c r="II220" s="64"/>
      <c r="IJ220" s="64"/>
      <c r="IK220" s="64"/>
      <c r="IL220" s="64"/>
      <c r="IM220" s="64"/>
      <c r="IN220" s="64"/>
      <c r="IO220" s="64"/>
      <c r="IP220" s="64"/>
      <c r="IQ220" s="64"/>
      <c r="IR220" s="64"/>
      <c r="IS220" s="64"/>
      <c r="IT220" s="64"/>
      <c r="IU220" s="64"/>
      <c r="IV220" s="64"/>
      <c r="IW220" s="64"/>
      <c r="IX220" s="64"/>
      <c r="IY220" s="64"/>
      <c r="IZ220" s="64"/>
      <c r="JA220" s="64"/>
      <c r="JB220" s="64"/>
      <c r="JC220" s="64"/>
      <c r="JD220" s="64"/>
      <c r="JE220" s="64"/>
      <c r="JF220" s="64"/>
      <c r="JG220" s="64"/>
      <c r="JH220" s="64"/>
      <c r="JI220" s="64"/>
    </row>
    <row r="221" spans="1:269" s="920" customFormat="1" x14ac:dyDescent="0.2">
      <c r="A221" s="116"/>
      <c r="B221" s="64"/>
      <c r="C221" s="64"/>
      <c r="D221" s="64"/>
      <c r="E221" s="64"/>
      <c r="F221" s="64"/>
      <c r="G221" s="64"/>
      <c r="H221" s="64"/>
      <c r="I221" s="64"/>
      <c r="J221" s="116"/>
      <c r="K221" s="116"/>
      <c r="L221" s="116"/>
      <c r="M221" s="116"/>
      <c r="N221" s="116"/>
      <c r="O221" s="116"/>
      <c r="P221" s="116"/>
      <c r="Q221" s="102"/>
      <c r="R221" s="102"/>
      <c r="S221" s="102"/>
      <c r="T221" s="102"/>
      <c r="U221" s="913"/>
      <c r="V221" s="114"/>
      <c r="W221" s="805"/>
      <c r="X221" s="805"/>
      <c r="Y221" s="805"/>
      <c r="Z221" s="914"/>
      <c r="AA221" s="102"/>
      <c r="AB221" s="102"/>
      <c r="AC221" s="102"/>
      <c r="AD221" s="102"/>
      <c r="AE221" s="102"/>
      <c r="AF221" s="102"/>
      <c r="AG221" s="102"/>
      <c r="AH221" s="102"/>
      <c r="AI221" s="102"/>
      <c r="AJ221" s="102"/>
      <c r="AK221" s="102"/>
      <c r="AL221" s="915"/>
      <c r="AM221" s="915"/>
      <c r="AN221" s="114"/>
      <c r="AO221" s="64"/>
      <c r="AP221" s="64"/>
      <c r="AQ221" s="64"/>
      <c r="AR221" s="916"/>
      <c r="AS221" s="916"/>
      <c r="AT221" s="916"/>
      <c r="AU221" s="917"/>
      <c r="AV221" s="917"/>
      <c r="AW221" s="917"/>
      <c r="AX221" s="918"/>
      <c r="AY221" s="916"/>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917"/>
      <c r="CA221" s="917"/>
      <c r="CB221" s="64"/>
      <c r="CC221" s="919"/>
      <c r="CD221" s="919"/>
      <c r="CE221" s="64"/>
      <c r="CF221" s="528"/>
      <c r="CG221" s="529"/>
      <c r="CH221" s="64"/>
      <c r="CI221" s="64"/>
      <c r="CJ221" s="64"/>
      <c r="CK221" s="64"/>
      <c r="CL221" s="64"/>
      <c r="CM221" s="64"/>
      <c r="CN221" s="64"/>
      <c r="CO221" s="64"/>
      <c r="CP221" s="64"/>
      <c r="CQ221" s="64"/>
      <c r="CR221" s="64"/>
      <c r="CS221" s="64"/>
      <c r="CT221" s="64"/>
      <c r="CU221" s="64"/>
      <c r="CV221" s="64"/>
      <c r="CW221" s="64"/>
      <c r="CX221" s="64"/>
      <c r="CY221" s="1011"/>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c r="FC221" s="64"/>
      <c r="FD221" s="64"/>
      <c r="FE221" s="64"/>
      <c r="FF221" s="64"/>
      <c r="FG221" s="64"/>
      <c r="FH221" s="64"/>
      <c r="FI221" s="64"/>
      <c r="FJ221" s="64"/>
      <c r="FK221" s="64"/>
      <c r="FL221" s="64"/>
      <c r="FM221" s="64"/>
      <c r="FN221" s="64"/>
      <c r="FO221" s="64"/>
      <c r="FP221" s="64"/>
      <c r="FQ221" s="64"/>
      <c r="FR221" s="64"/>
      <c r="FS221" s="64"/>
      <c r="FT221" s="64"/>
      <c r="FU221" s="64"/>
      <c r="FV221" s="64"/>
      <c r="FW221" s="64"/>
      <c r="FX221" s="64"/>
      <c r="FY221" s="64"/>
      <c r="FZ221" s="64"/>
      <c r="GA221" s="64"/>
      <c r="GB221" s="64"/>
      <c r="GC221" s="64"/>
      <c r="GD221" s="64"/>
      <c r="GE221" s="64"/>
      <c r="GF221" s="64"/>
      <c r="GG221" s="64"/>
      <c r="GH221" s="64"/>
      <c r="GI221" s="64"/>
      <c r="GJ221" s="64"/>
      <c r="GK221" s="64"/>
      <c r="GL221" s="64"/>
      <c r="GM221" s="64"/>
      <c r="GN221" s="64"/>
      <c r="GO221" s="64"/>
      <c r="GP221" s="64"/>
      <c r="GQ221" s="64"/>
      <c r="GR221" s="64"/>
      <c r="GS221" s="64"/>
      <c r="GT221" s="64"/>
      <c r="GU221" s="64"/>
      <c r="GV221" s="64"/>
      <c r="GW221" s="64"/>
      <c r="GX221" s="64"/>
      <c r="GY221" s="64"/>
      <c r="GZ221" s="64"/>
      <c r="HA221" s="64"/>
      <c r="HB221" s="64"/>
      <c r="HC221" s="64"/>
      <c r="HD221" s="64"/>
      <c r="HE221" s="64"/>
      <c r="HF221" s="64"/>
      <c r="HG221" s="64"/>
      <c r="HH221" s="64"/>
      <c r="HI221" s="64"/>
      <c r="HJ221" s="64"/>
      <c r="HK221" s="64"/>
      <c r="HL221" s="64"/>
      <c r="HM221" s="64"/>
      <c r="HN221" s="64"/>
      <c r="HO221" s="64"/>
      <c r="HP221" s="64"/>
      <c r="HQ221" s="64"/>
      <c r="HR221" s="64"/>
      <c r="HS221" s="64"/>
      <c r="HT221" s="64"/>
      <c r="HU221" s="64"/>
      <c r="HV221" s="64"/>
      <c r="HW221" s="64"/>
      <c r="HX221" s="64"/>
      <c r="HY221" s="64"/>
      <c r="HZ221" s="64"/>
      <c r="IA221" s="64"/>
      <c r="IB221" s="64"/>
      <c r="IC221" s="64"/>
      <c r="ID221" s="64"/>
      <c r="IE221" s="64"/>
      <c r="IF221" s="64"/>
      <c r="IG221" s="64"/>
      <c r="IH221" s="64"/>
      <c r="II221" s="64"/>
      <c r="IJ221" s="64"/>
      <c r="IK221" s="64"/>
      <c r="IL221" s="64"/>
      <c r="IM221" s="64"/>
      <c r="IN221" s="64"/>
      <c r="IO221" s="64"/>
      <c r="IP221" s="64"/>
      <c r="IQ221" s="64"/>
      <c r="IR221" s="64"/>
      <c r="IS221" s="64"/>
      <c r="IT221" s="64"/>
      <c r="IU221" s="64"/>
      <c r="IV221" s="64"/>
      <c r="IW221" s="64"/>
      <c r="IX221" s="64"/>
      <c r="IY221" s="64"/>
      <c r="IZ221" s="64"/>
      <c r="JA221" s="64"/>
      <c r="JB221" s="64"/>
      <c r="JC221" s="64"/>
      <c r="JD221" s="64"/>
      <c r="JE221" s="64"/>
      <c r="JF221" s="64"/>
      <c r="JG221" s="64"/>
      <c r="JH221" s="64"/>
      <c r="JI221" s="64"/>
    </row>
    <row r="222" spans="1:269" s="920" customFormat="1" x14ac:dyDescent="0.2">
      <c r="A222" s="116"/>
      <c r="B222" s="64"/>
      <c r="C222" s="64"/>
      <c r="D222" s="64"/>
      <c r="E222" s="64"/>
      <c r="F222" s="64"/>
      <c r="G222" s="64"/>
      <c r="H222" s="64"/>
      <c r="I222" s="64"/>
      <c r="J222" s="116"/>
      <c r="K222" s="116"/>
      <c r="L222" s="116"/>
      <c r="M222" s="116"/>
      <c r="N222" s="116"/>
      <c r="O222" s="116"/>
      <c r="P222" s="116"/>
      <c r="Q222" s="102"/>
      <c r="R222" s="102"/>
      <c r="S222" s="102"/>
      <c r="T222" s="102"/>
      <c r="U222" s="913"/>
      <c r="V222" s="114"/>
      <c r="W222" s="805"/>
      <c r="X222" s="805"/>
      <c r="Y222" s="805"/>
      <c r="Z222" s="914"/>
      <c r="AA222" s="102"/>
      <c r="AB222" s="102"/>
      <c r="AC222" s="102"/>
      <c r="AD222" s="102"/>
      <c r="AE222" s="102"/>
      <c r="AF222" s="102"/>
      <c r="AG222" s="102"/>
      <c r="AH222" s="102"/>
      <c r="AI222" s="102"/>
      <c r="AJ222" s="102"/>
      <c r="AK222" s="102"/>
      <c r="AL222" s="915"/>
      <c r="AM222" s="915"/>
      <c r="AN222" s="114"/>
      <c r="AO222" s="64"/>
      <c r="AP222" s="64"/>
      <c r="AQ222" s="64"/>
      <c r="AR222" s="916"/>
      <c r="AS222" s="916"/>
      <c r="AT222" s="916"/>
      <c r="AU222" s="917"/>
      <c r="AV222" s="917"/>
      <c r="AW222" s="917"/>
      <c r="AX222" s="918"/>
      <c r="AY222" s="916"/>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917"/>
      <c r="CA222" s="917"/>
      <c r="CB222" s="64"/>
      <c r="CC222" s="919"/>
      <c r="CD222" s="919"/>
      <c r="CE222" s="64"/>
      <c r="CF222" s="528"/>
      <c r="CG222" s="529"/>
      <c r="CH222" s="64"/>
      <c r="CI222" s="64"/>
      <c r="CJ222" s="64"/>
      <c r="CK222" s="64"/>
      <c r="CL222" s="64"/>
      <c r="CM222" s="64"/>
      <c r="CN222" s="64"/>
      <c r="CO222" s="64"/>
      <c r="CP222" s="64"/>
      <c r="CQ222" s="64"/>
      <c r="CR222" s="64"/>
      <c r="CS222" s="64"/>
      <c r="CT222" s="64"/>
      <c r="CU222" s="64"/>
      <c r="CV222" s="64"/>
      <c r="CW222" s="64"/>
      <c r="CX222" s="64"/>
      <c r="CY222" s="1011"/>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c r="FC222" s="64"/>
      <c r="FD222" s="64"/>
      <c r="FE222" s="64"/>
      <c r="FF222" s="64"/>
      <c r="FG222" s="64"/>
      <c r="FH222" s="64"/>
      <c r="FI222" s="64"/>
      <c r="FJ222" s="64"/>
      <c r="FK222" s="64"/>
      <c r="FL222" s="64"/>
      <c r="FM222" s="64"/>
      <c r="FN222" s="64"/>
      <c r="FO222" s="64"/>
      <c r="FP222" s="64"/>
      <c r="FQ222" s="64"/>
      <c r="FR222" s="64"/>
      <c r="FS222" s="64"/>
      <c r="FT222" s="64"/>
      <c r="FU222" s="64"/>
      <c r="FV222" s="64"/>
      <c r="FW222" s="64"/>
      <c r="FX222" s="64"/>
      <c r="FY222" s="64"/>
      <c r="FZ222" s="64"/>
      <c r="GA222" s="64"/>
      <c r="GB222" s="64"/>
      <c r="GC222" s="64"/>
      <c r="GD222" s="64"/>
      <c r="GE222" s="64"/>
      <c r="GF222" s="64"/>
      <c r="GG222" s="64"/>
      <c r="GH222" s="64"/>
      <c r="GI222" s="64"/>
      <c r="GJ222" s="64"/>
      <c r="GK222" s="64"/>
      <c r="GL222" s="64"/>
      <c r="GM222" s="64"/>
      <c r="GN222" s="64"/>
      <c r="GO222" s="64"/>
      <c r="GP222" s="64"/>
      <c r="GQ222" s="64"/>
      <c r="GR222" s="64"/>
      <c r="GS222" s="64"/>
      <c r="GT222" s="64"/>
      <c r="GU222" s="64"/>
      <c r="GV222" s="64"/>
      <c r="GW222" s="64"/>
      <c r="GX222" s="64"/>
      <c r="GY222" s="64"/>
      <c r="GZ222" s="64"/>
      <c r="HA222" s="64"/>
      <c r="HB222" s="64"/>
      <c r="HC222" s="64"/>
      <c r="HD222" s="64"/>
      <c r="HE222" s="64"/>
      <c r="HF222" s="64"/>
      <c r="HG222" s="64"/>
      <c r="HH222" s="64"/>
      <c r="HI222" s="64"/>
      <c r="HJ222" s="64"/>
      <c r="HK222" s="64"/>
      <c r="HL222" s="64"/>
      <c r="HM222" s="64"/>
      <c r="HN222" s="64"/>
      <c r="HO222" s="64"/>
      <c r="HP222" s="64"/>
      <c r="HQ222" s="64"/>
      <c r="HR222" s="64"/>
      <c r="HS222" s="64"/>
      <c r="HT222" s="64"/>
      <c r="HU222" s="64"/>
      <c r="HV222" s="64"/>
      <c r="HW222" s="64"/>
      <c r="HX222" s="64"/>
      <c r="HY222" s="64"/>
      <c r="HZ222" s="64"/>
      <c r="IA222" s="64"/>
      <c r="IB222" s="64"/>
      <c r="IC222" s="64"/>
      <c r="ID222" s="64"/>
      <c r="IE222" s="64"/>
      <c r="IF222" s="64"/>
      <c r="IG222" s="64"/>
      <c r="IH222" s="64"/>
      <c r="II222" s="64"/>
      <c r="IJ222" s="64"/>
      <c r="IK222" s="64"/>
      <c r="IL222" s="64"/>
      <c r="IM222" s="64"/>
      <c r="IN222" s="64"/>
      <c r="IO222" s="64"/>
      <c r="IP222" s="64"/>
      <c r="IQ222" s="64"/>
      <c r="IR222" s="64"/>
      <c r="IS222" s="64"/>
      <c r="IT222" s="64"/>
      <c r="IU222" s="64"/>
      <c r="IV222" s="64"/>
      <c r="IW222" s="64"/>
      <c r="IX222" s="64"/>
      <c r="IY222" s="64"/>
      <c r="IZ222" s="64"/>
      <c r="JA222" s="64"/>
      <c r="JB222" s="64"/>
      <c r="JC222" s="64"/>
      <c r="JD222" s="64"/>
      <c r="JE222" s="64"/>
      <c r="JF222" s="64"/>
      <c r="JG222" s="64"/>
      <c r="JH222" s="64"/>
      <c r="JI222" s="64"/>
    </row>
    <row r="223" spans="1:269" s="920" customFormat="1" x14ac:dyDescent="0.2">
      <c r="A223" s="116"/>
      <c r="B223" s="64"/>
      <c r="C223" s="64"/>
      <c r="D223" s="64"/>
      <c r="E223" s="64"/>
      <c r="F223" s="64"/>
      <c r="G223" s="64"/>
      <c r="H223" s="64"/>
      <c r="I223" s="64"/>
      <c r="J223" s="116"/>
      <c r="K223" s="116"/>
      <c r="L223" s="116"/>
      <c r="M223" s="116"/>
      <c r="N223" s="116"/>
      <c r="O223" s="116"/>
      <c r="P223" s="116"/>
      <c r="Q223" s="102"/>
      <c r="R223" s="102"/>
      <c r="S223" s="102"/>
      <c r="T223" s="102"/>
      <c r="U223" s="913"/>
      <c r="V223" s="114"/>
      <c r="W223" s="805"/>
      <c r="X223" s="805"/>
      <c r="Y223" s="805"/>
      <c r="Z223" s="914"/>
      <c r="AA223" s="102"/>
      <c r="AB223" s="102"/>
      <c r="AC223" s="102"/>
      <c r="AD223" s="102"/>
      <c r="AE223" s="102"/>
      <c r="AF223" s="102"/>
      <c r="AG223" s="102"/>
      <c r="AH223" s="102"/>
      <c r="AI223" s="102"/>
      <c r="AJ223" s="102"/>
      <c r="AK223" s="102"/>
      <c r="AL223" s="915"/>
      <c r="AM223" s="915"/>
      <c r="AN223" s="114"/>
      <c r="AO223" s="64"/>
      <c r="AP223" s="64"/>
      <c r="AQ223" s="64"/>
      <c r="AR223" s="916"/>
      <c r="AS223" s="916"/>
      <c r="AT223" s="916"/>
      <c r="AU223" s="917"/>
      <c r="AV223" s="917"/>
      <c r="AW223" s="917"/>
      <c r="AX223" s="918"/>
      <c r="AY223" s="916"/>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917"/>
      <c r="CA223" s="917"/>
      <c r="CB223" s="64"/>
      <c r="CC223" s="919"/>
      <c r="CD223" s="919"/>
      <c r="CE223" s="64"/>
      <c r="CF223" s="528"/>
      <c r="CG223" s="529"/>
      <c r="CH223" s="64"/>
      <c r="CI223" s="64"/>
      <c r="CJ223" s="64"/>
      <c r="CK223" s="64"/>
      <c r="CL223" s="64"/>
      <c r="CM223" s="64"/>
      <c r="CN223" s="64"/>
      <c r="CO223" s="64"/>
      <c r="CP223" s="64"/>
      <c r="CQ223" s="64"/>
      <c r="CR223" s="64"/>
      <c r="CS223" s="64"/>
      <c r="CT223" s="64"/>
      <c r="CU223" s="64"/>
      <c r="CV223" s="64"/>
      <c r="CW223" s="64"/>
      <c r="CX223" s="64"/>
      <c r="CY223" s="1011"/>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c r="FC223" s="64"/>
      <c r="FD223" s="64"/>
      <c r="FE223" s="64"/>
      <c r="FF223" s="64"/>
      <c r="FG223" s="64"/>
      <c r="FH223" s="64"/>
      <c r="FI223" s="64"/>
      <c r="FJ223" s="64"/>
      <c r="FK223" s="64"/>
      <c r="FL223" s="64"/>
      <c r="FM223" s="64"/>
      <c r="FN223" s="64"/>
      <c r="FO223" s="64"/>
      <c r="FP223" s="64"/>
      <c r="FQ223" s="64"/>
      <c r="FR223" s="64"/>
      <c r="FS223" s="64"/>
      <c r="FT223" s="64"/>
      <c r="FU223" s="64"/>
      <c r="FV223" s="64"/>
      <c r="FW223" s="64"/>
      <c r="FX223" s="64"/>
      <c r="FY223" s="64"/>
      <c r="FZ223" s="64"/>
      <c r="GA223" s="64"/>
      <c r="GB223" s="64"/>
      <c r="GC223" s="64"/>
      <c r="GD223" s="64"/>
      <c r="GE223" s="64"/>
      <c r="GF223" s="64"/>
      <c r="GG223" s="64"/>
      <c r="GH223" s="64"/>
      <c r="GI223" s="64"/>
      <c r="GJ223" s="64"/>
      <c r="GK223" s="64"/>
      <c r="GL223" s="64"/>
      <c r="GM223" s="64"/>
      <c r="GN223" s="64"/>
      <c r="GO223" s="64"/>
      <c r="GP223" s="64"/>
      <c r="GQ223" s="64"/>
      <c r="GR223" s="64"/>
      <c r="GS223" s="64"/>
      <c r="GT223" s="64"/>
      <c r="GU223" s="64"/>
      <c r="GV223" s="64"/>
      <c r="GW223" s="64"/>
      <c r="GX223" s="64"/>
      <c r="GY223" s="64"/>
      <c r="GZ223" s="64"/>
      <c r="HA223" s="64"/>
      <c r="HB223" s="64"/>
      <c r="HC223" s="64"/>
      <c r="HD223" s="64"/>
      <c r="HE223" s="64"/>
      <c r="HF223" s="64"/>
      <c r="HG223" s="64"/>
      <c r="HH223" s="64"/>
      <c r="HI223" s="64"/>
      <c r="HJ223" s="64"/>
      <c r="HK223" s="64"/>
      <c r="HL223" s="64"/>
      <c r="HM223" s="64"/>
      <c r="HN223" s="64"/>
      <c r="HO223" s="64"/>
      <c r="HP223" s="64"/>
      <c r="HQ223" s="64"/>
      <c r="HR223" s="64"/>
      <c r="HS223" s="64"/>
      <c r="HT223" s="64"/>
      <c r="HU223" s="64"/>
      <c r="HV223" s="64"/>
      <c r="HW223" s="64"/>
      <c r="HX223" s="64"/>
      <c r="HY223" s="64"/>
      <c r="HZ223" s="64"/>
      <c r="IA223" s="64"/>
      <c r="IB223" s="64"/>
      <c r="IC223" s="64"/>
      <c r="ID223" s="64"/>
      <c r="IE223" s="64"/>
      <c r="IF223" s="64"/>
      <c r="IG223" s="64"/>
      <c r="IH223" s="64"/>
      <c r="II223" s="64"/>
      <c r="IJ223" s="64"/>
      <c r="IK223" s="64"/>
      <c r="IL223" s="64"/>
      <c r="IM223" s="64"/>
      <c r="IN223" s="64"/>
      <c r="IO223" s="64"/>
      <c r="IP223" s="64"/>
      <c r="IQ223" s="64"/>
      <c r="IR223" s="64"/>
      <c r="IS223" s="64"/>
      <c r="IT223" s="64"/>
      <c r="IU223" s="64"/>
      <c r="IV223" s="64"/>
      <c r="IW223" s="64"/>
      <c r="IX223" s="64"/>
      <c r="IY223" s="64"/>
      <c r="IZ223" s="64"/>
      <c r="JA223" s="64"/>
      <c r="JB223" s="64"/>
      <c r="JC223" s="64"/>
      <c r="JD223" s="64"/>
      <c r="JE223" s="64"/>
      <c r="JF223" s="64"/>
      <c r="JG223" s="64"/>
      <c r="JH223" s="64"/>
      <c r="JI223" s="64"/>
    </row>
    <row r="224" spans="1:269" s="920" customFormat="1" x14ac:dyDescent="0.2">
      <c r="A224" s="116"/>
      <c r="B224" s="64"/>
      <c r="C224" s="64"/>
      <c r="D224" s="64"/>
      <c r="E224" s="64"/>
      <c r="F224" s="64"/>
      <c r="G224" s="64"/>
      <c r="H224" s="64"/>
      <c r="I224" s="64"/>
      <c r="J224" s="116"/>
      <c r="K224" s="116"/>
      <c r="L224" s="116"/>
      <c r="M224" s="116"/>
      <c r="N224" s="116"/>
      <c r="O224" s="116"/>
      <c r="P224" s="116"/>
      <c r="Q224" s="102"/>
      <c r="R224" s="102"/>
      <c r="S224" s="102"/>
      <c r="T224" s="102"/>
      <c r="U224" s="913"/>
      <c r="V224" s="114"/>
      <c r="W224" s="805"/>
      <c r="X224" s="805"/>
      <c r="Y224" s="805"/>
      <c r="Z224" s="914"/>
      <c r="AA224" s="102"/>
      <c r="AB224" s="102"/>
      <c r="AC224" s="102"/>
      <c r="AD224" s="102"/>
      <c r="AE224" s="102"/>
      <c r="AF224" s="102"/>
      <c r="AG224" s="102"/>
      <c r="AH224" s="102"/>
      <c r="AI224" s="102"/>
      <c r="AJ224" s="102"/>
      <c r="AK224" s="102"/>
      <c r="AL224" s="915"/>
      <c r="AM224" s="915"/>
      <c r="AN224" s="114"/>
      <c r="AO224" s="64"/>
      <c r="AP224" s="64"/>
      <c r="AQ224" s="64"/>
      <c r="AR224" s="916"/>
      <c r="AS224" s="916"/>
      <c r="AT224" s="916"/>
      <c r="AU224" s="917"/>
      <c r="AV224" s="917"/>
      <c r="AW224" s="917"/>
      <c r="AX224" s="918"/>
      <c r="AY224" s="916"/>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917"/>
      <c r="CA224" s="917"/>
      <c r="CB224" s="64"/>
      <c r="CC224" s="919"/>
      <c r="CD224" s="919"/>
      <c r="CE224" s="64"/>
      <c r="CF224" s="528"/>
      <c r="CG224" s="529"/>
      <c r="CH224" s="64"/>
      <c r="CI224" s="64"/>
      <c r="CJ224" s="64"/>
      <c r="CK224" s="64"/>
      <c r="CL224" s="64"/>
      <c r="CM224" s="64"/>
      <c r="CN224" s="64"/>
      <c r="CO224" s="64"/>
      <c r="CP224" s="64"/>
      <c r="CQ224" s="64"/>
      <c r="CR224" s="64"/>
      <c r="CS224" s="64"/>
      <c r="CT224" s="64"/>
      <c r="CU224" s="64"/>
      <c r="CV224" s="64"/>
      <c r="CW224" s="64"/>
      <c r="CX224" s="64"/>
      <c r="CY224" s="1011"/>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c r="FC224" s="64"/>
      <c r="FD224" s="64"/>
      <c r="FE224" s="64"/>
      <c r="FF224" s="64"/>
      <c r="FG224" s="64"/>
      <c r="FH224" s="64"/>
      <c r="FI224" s="64"/>
      <c r="FJ224" s="64"/>
      <c r="FK224" s="64"/>
      <c r="FL224" s="64"/>
      <c r="FM224" s="64"/>
      <c r="FN224" s="64"/>
      <c r="FO224" s="64"/>
      <c r="FP224" s="64"/>
      <c r="FQ224" s="64"/>
      <c r="FR224" s="64"/>
      <c r="FS224" s="64"/>
      <c r="FT224" s="64"/>
      <c r="FU224" s="64"/>
      <c r="FV224" s="64"/>
      <c r="FW224" s="64"/>
      <c r="FX224" s="64"/>
      <c r="FY224" s="64"/>
      <c r="FZ224" s="64"/>
      <c r="GA224" s="64"/>
      <c r="GB224" s="64"/>
      <c r="GC224" s="64"/>
      <c r="GD224" s="64"/>
      <c r="GE224" s="64"/>
      <c r="GF224" s="64"/>
      <c r="GG224" s="64"/>
      <c r="GH224" s="64"/>
      <c r="GI224" s="64"/>
      <c r="GJ224" s="64"/>
      <c r="GK224" s="64"/>
      <c r="GL224" s="64"/>
      <c r="GM224" s="64"/>
      <c r="GN224" s="64"/>
      <c r="GO224" s="64"/>
      <c r="GP224" s="64"/>
      <c r="GQ224" s="64"/>
      <c r="GR224" s="64"/>
      <c r="GS224" s="64"/>
      <c r="GT224" s="64"/>
      <c r="GU224" s="64"/>
      <c r="GV224" s="64"/>
      <c r="GW224" s="64"/>
      <c r="GX224" s="64"/>
      <c r="GY224" s="64"/>
      <c r="GZ224" s="64"/>
      <c r="HA224" s="64"/>
      <c r="HB224" s="64"/>
      <c r="HC224" s="64"/>
      <c r="HD224" s="64"/>
      <c r="HE224" s="64"/>
      <c r="HF224" s="64"/>
      <c r="HG224" s="64"/>
      <c r="HH224" s="64"/>
      <c r="HI224" s="64"/>
      <c r="HJ224" s="64"/>
      <c r="HK224" s="64"/>
      <c r="HL224" s="64"/>
      <c r="HM224" s="64"/>
      <c r="HN224" s="64"/>
      <c r="HO224" s="64"/>
      <c r="HP224" s="64"/>
      <c r="HQ224" s="64"/>
      <c r="HR224" s="64"/>
      <c r="HS224" s="64"/>
      <c r="HT224" s="64"/>
      <c r="HU224" s="64"/>
      <c r="HV224" s="64"/>
      <c r="HW224" s="64"/>
      <c r="HX224" s="64"/>
      <c r="HY224" s="64"/>
      <c r="HZ224" s="64"/>
      <c r="IA224" s="64"/>
      <c r="IB224" s="64"/>
      <c r="IC224" s="64"/>
      <c r="ID224" s="64"/>
      <c r="IE224" s="64"/>
      <c r="IF224" s="64"/>
      <c r="IG224" s="64"/>
      <c r="IH224" s="64"/>
      <c r="II224" s="64"/>
      <c r="IJ224" s="64"/>
      <c r="IK224" s="64"/>
      <c r="IL224" s="64"/>
      <c r="IM224" s="64"/>
      <c r="IN224" s="64"/>
      <c r="IO224" s="64"/>
      <c r="IP224" s="64"/>
      <c r="IQ224" s="64"/>
      <c r="IR224" s="64"/>
      <c r="IS224" s="64"/>
      <c r="IT224" s="64"/>
      <c r="IU224" s="64"/>
      <c r="IV224" s="64"/>
      <c r="IW224" s="64"/>
      <c r="IX224" s="64"/>
      <c r="IY224" s="64"/>
      <c r="IZ224" s="64"/>
      <c r="JA224" s="64"/>
      <c r="JB224" s="64"/>
      <c r="JC224" s="64"/>
      <c r="JD224" s="64"/>
      <c r="JE224" s="64"/>
      <c r="JF224" s="64"/>
      <c r="JG224" s="64"/>
      <c r="JH224" s="64"/>
      <c r="JI224" s="64"/>
    </row>
    <row r="225" spans="1:269" s="920" customFormat="1" x14ac:dyDescent="0.2">
      <c r="A225" s="116"/>
      <c r="B225" s="64"/>
      <c r="C225" s="64"/>
      <c r="D225" s="64"/>
      <c r="E225" s="64"/>
      <c r="F225" s="64"/>
      <c r="G225" s="64"/>
      <c r="H225" s="64"/>
      <c r="I225" s="64"/>
      <c r="J225" s="116"/>
      <c r="K225" s="116"/>
      <c r="L225" s="116"/>
      <c r="M225" s="116"/>
      <c r="N225" s="116"/>
      <c r="O225" s="116"/>
      <c r="P225" s="116"/>
      <c r="Q225" s="102"/>
      <c r="R225" s="102"/>
      <c r="S225" s="102"/>
      <c r="T225" s="102"/>
      <c r="U225" s="913"/>
      <c r="V225" s="114"/>
      <c r="W225" s="805"/>
      <c r="X225" s="805"/>
      <c r="Y225" s="805"/>
      <c r="Z225" s="914"/>
      <c r="AA225" s="102"/>
      <c r="AB225" s="102"/>
      <c r="AC225" s="102"/>
      <c r="AD225" s="102"/>
      <c r="AE225" s="102"/>
      <c r="AF225" s="102"/>
      <c r="AG225" s="102"/>
      <c r="AH225" s="102"/>
      <c r="AI225" s="102"/>
      <c r="AJ225" s="102"/>
      <c r="AK225" s="102"/>
      <c r="AL225" s="915"/>
      <c r="AM225" s="915"/>
      <c r="AN225" s="114"/>
      <c r="AO225" s="64"/>
      <c r="AP225" s="64"/>
      <c r="AQ225" s="64"/>
      <c r="AR225" s="916"/>
      <c r="AS225" s="916"/>
      <c r="AT225" s="916"/>
      <c r="AU225" s="917"/>
      <c r="AV225" s="917"/>
      <c r="AW225" s="917"/>
      <c r="AX225" s="918"/>
      <c r="AY225" s="916"/>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917"/>
      <c r="CA225" s="917"/>
      <c r="CB225" s="64"/>
      <c r="CC225" s="919"/>
      <c r="CD225" s="919"/>
      <c r="CE225" s="64"/>
      <c r="CF225" s="528"/>
      <c r="CG225" s="529"/>
      <c r="CH225" s="64"/>
      <c r="CI225" s="64"/>
      <c r="CJ225" s="64"/>
      <c r="CK225" s="64"/>
      <c r="CL225" s="64"/>
      <c r="CM225" s="64"/>
      <c r="CN225" s="64"/>
      <c r="CO225" s="64"/>
      <c r="CP225" s="64"/>
      <c r="CQ225" s="64"/>
      <c r="CR225" s="64"/>
      <c r="CS225" s="64"/>
      <c r="CT225" s="64"/>
      <c r="CU225" s="64"/>
      <c r="CV225" s="64"/>
      <c r="CW225" s="64"/>
      <c r="CX225" s="64"/>
      <c r="CY225" s="1011"/>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c r="FC225" s="64"/>
      <c r="FD225" s="64"/>
      <c r="FE225" s="64"/>
      <c r="FF225" s="64"/>
      <c r="FG225" s="64"/>
      <c r="FH225" s="64"/>
      <c r="FI225" s="64"/>
      <c r="FJ225" s="64"/>
      <c r="FK225" s="64"/>
      <c r="FL225" s="64"/>
      <c r="FM225" s="64"/>
      <c r="FN225" s="64"/>
      <c r="FO225" s="64"/>
      <c r="FP225" s="64"/>
      <c r="FQ225" s="64"/>
      <c r="FR225" s="64"/>
      <c r="FS225" s="64"/>
      <c r="FT225" s="64"/>
      <c r="FU225" s="64"/>
      <c r="FV225" s="64"/>
      <c r="FW225" s="64"/>
      <c r="FX225" s="64"/>
      <c r="FY225" s="64"/>
      <c r="FZ225" s="64"/>
      <c r="GA225" s="64"/>
      <c r="GB225" s="64"/>
      <c r="GC225" s="64"/>
      <c r="GD225" s="64"/>
      <c r="GE225" s="64"/>
      <c r="GF225" s="64"/>
      <c r="GG225" s="64"/>
      <c r="GH225" s="64"/>
      <c r="GI225" s="64"/>
      <c r="GJ225" s="64"/>
      <c r="GK225" s="64"/>
      <c r="GL225" s="64"/>
      <c r="GM225" s="64"/>
      <c r="GN225" s="64"/>
      <c r="GO225" s="64"/>
      <c r="GP225" s="64"/>
      <c r="GQ225" s="64"/>
      <c r="GR225" s="64"/>
      <c r="GS225" s="64"/>
      <c r="GT225" s="64"/>
      <c r="GU225" s="64"/>
      <c r="GV225" s="64"/>
      <c r="GW225" s="64"/>
      <c r="GX225" s="64"/>
      <c r="GY225" s="64"/>
      <c r="GZ225" s="64"/>
      <c r="HA225" s="64"/>
      <c r="HB225" s="64"/>
      <c r="HC225" s="64"/>
      <c r="HD225" s="64"/>
      <c r="HE225" s="64"/>
      <c r="HF225" s="64"/>
      <c r="HG225" s="64"/>
      <c r="HH225" s="64"/>
      <c r="HI225" s="64"/>
      <c r="HJ225" s="64"/>
      <c r="HK225" s="64"/>
      <c r="HL225" s="64"/>
      <c r="HM225" s="64"/>
      <c r="HN225" s="64"/>
      <c r="HO225" s="64"/>
      <c r="HP225" s="64"/>
      <c r="HQ225" s="64"/>
      <c r="HR225" s="64"/>
      <c r="HS225" s="64"/>
      <c r="HT225" s="64"/>
      <c r="HU225" s="64"/>
      <c r="HV225" s="64"/>
      <c r="HW225" s="64"/>
      <c r="HX225" s="64"/>
      <c r="HY225" s="64"/>
      <c r="HZ225" s="64"/>
      <c r="IA225" s="64"/>
      <c r="IB225" s="64"/>
      <c r="IC225" s="64"/>
      <c r="ID225" s="64"/>
      <c r="IE225" s="64"/>
      <c r="IF225" s="64"/>
      <c r="IG225" s="64"/>
      <c r="IH225" s="64"/>
      <c r="II225" s="64"/>
      <c r="IJ225" s="64"/>
      <c r="IK225" s="64"/>
      <c r="IL225" s="64"/>
      <c r="IM225" s="64"/>
      <c r="IN225" s="64"/>
      <c r="IO225" s="64"/>
      <c r="IP225" s="64"/>
      <c r="IQ225" s="64"/>
      <c r="IR225" s="64"/>
      <c r="IS225" s="64"/>
      <c r="IT225" s="64"/>
      <c r="IU225" s="64"/>
      <c r="IV225" s="64"/>
      <c r="IW225" s="64"/>
      <c r="IX225" s="64"/>
      <c r="IY225" s="64"/>
      <c r="IZ225" s="64"/>
      <c r="JA225" s="64"/>
      <c r="JB225" s="64"/>
      <c r="JC225" s="64"/>
      <c r="JD225" s="64"/>
      <c r="JE225" s="64"/>
      <c r="JF225" s="64"/>
      <c r="JG225" s="64"/>
      <c r="JH225" s="64"/>
      <c r="JI225" s="64"/>
    </row>
    <row r="226" spans="1:269" s="920" customFormat="1" x14ac:dyDescent="0.2">
      <c r="A226" s="116"/>
      <c r="B226" s="64"/>
      <c r="C226" s="64"/>
      <c r="D226" s="64"/>
      <c r="E226" s="64"/>
      <c r="F226" s="64"/>
      <c r="G226" s="64"/>
      <c r="H226" s="64"/>
      <c r="I226" s="64"/>
      <c r="J226" s="116"/>
      <c r="K226" s="116"/>
      <c r="L226" s="116"/>
      <c r="M226" s="116"/>
      <c r="N226" s="116"/>
      <c r="O226" s="116"/>
      <c r="P226" s="116"/>
      <c r="Q226" s="102"/>
      <c r="R226" s="102"/>
      <c r="S226" s="102"/>
      <c r="T226" s="102"/>
      <c r="U226" s="913"/>
      <c r="V226" s="114"/>
      <c r="W226" s="805"/>
      <c r="X226" s="805"/>
      <c r="Y226" s="805"/>
      <c r="Z226" s="914"/>
      <c r="AA226" s="102"/>
      <c r="AB226" s="102"/>
      <c r="AC226" s="102"/>
      <c r="AD226" s="102"/>
      <c r="AE226" s="102"/>
      <c r="AF226" s="102"/>
      <c r="AG226" s="102"/>
      <c r="AH226" s="102"/>
      <c r="AI226" s="102"/>
      <c r="AJ226" s="102"/>
      <c r="AK226" s="102"/>
      <c r="AL226" s="915"/>
      <c r="AM226" s="915"/>
      <c r="AN226" s="114"/>
      <c r="AO226" s="64"/>
      <c r="AP226" s="64"/>
      <c r="AQ226" s="64"/>
      <c r="AR226" s="916"/>
      <c r="AS226" s="916"/>
      <c r="AT226" s="916"/>
      <c r="AU226" s="917"/>
      <c r="AV226" s="917"/>
      <c r="AW226" s="917"/>
      <c r="AX226" s="918"/>
      <c r="AY226" s="916"/>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917"/>
      <c r="CA226" s="917"/>
      <c r="CB226" s="64"/>
      <c r="CC226" s="919"/>
      <c r="CD226" s="919"/>
      <c r="CE226" s="64"/>
      <c r="CF226" s="528"/>
      <c r="CG226" s="529"/>
      <c r="CH226" s="64"/>
      <c r="CI226" s="64"/>
      <c r="CJ226" s="64"/>
      <c r="CK226" s="64"/>
      <c r="CL226" s="64"/>
      <c r="CM226" s="64"/>
      <c r="CN226" s="64"/>
      <c r="CO226" s="64"/>
      <c r="CP226" s="64"/>
      <c r="CQ226" s="64"/>
      <c r="CR226" s="64"/>
      <c r="CS226" s="64"/>
      <c r="CT226" s="64"/>
      <c r="CU226" s="64"/>
      <c r="CV226" s="64"/>
      <c r="CW226" s="64"/>
      <c r="CX226" s="64"/>
      <c r="CY226" s="1011"/>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c r="FC226" s="64"/>
      <c r="FD226" s="64"/>
      <c r="FE226" s="64"/>
      <c r="FF226" s="64"/>
      <c r="FG226" s="64"/>
      <c r="FH226" s="64"/>
      <c r="FI226" s="64"/>
      <c r="FJ226" s="64"/>
      <c r="FK226" s="64"/>
      <c r="FL226" s="64"/>
      <c r="FM226" s="64"/>
      <c r="FN226" s="64"/>
      <c r="FO226" s="64"/>
      <c r="FP226" s="64"/>
      <c r="FQ226" s="64"/>
      <c r="FR226" s="64"/>
      <c r="FS226" s="64"/>
      <c r="FT226" s="64"/>
      <c r="FU226" s="64"/>
      <c r="FV226" s="64"/>
      <c r="FW226" s="64"/>
      <c r="FX226" s="64"/>
      <c r="FY226" s="64"/>
      <c r="FZ226" s="64"/>
      <c r="GA226" s="64"/>
      <c r="GB226" s="64"/>
      <c r="GC226" s="64"/>
      <c r="GD226" s="64"/>
      <c r="GE226" s="64"/>
      <c r="GF226" s="64"/>
      <c r="GG226" s="64"/>
      <c r="GH226" s="64"/>
      <c r="GI226" s="64"/>
      <c r="GJ226" s="64"/>
      <c r="GK226" s="64"/>
      <c r="GL226" s="64"/>
      <c r="GM226" s="64"/>
      <c r="GN226" s="64"/>
      <c r="GO226" s="64"/>
      <c r="GP226" s="64"/>
      <c r="GQ226" s="64"/>
      <c r="GR226" s="64"/>
      <c r="GS226" s="64"/>
      <c r="GT226" s="64"/>
      <c r="GU226" s="64"/>
      <c r="GV226" s="64"/>
      <c r="GW226" s="64"/>
      <c r="GX226" s="64"/>
      <c r="GY226" s="64"/>
      <c r="GZ226" s="64"/>
      <c r="HA226" s="64"/>
      <c r="HB226" s="64"/>
      <c r="HC226" s="64"/>
      <c r="HD226" s="64"/>
      <c r="HE226" s="64"/>
      <c r="HF226" s="64"/>
      <c r="HG226" s="64"/>
      <c r="HH226" s="64"/>
      <c r="HI226" s="64"/>
      <c r="HJ226" s="64"/>
      <c r="HK226" s="64"/>
      <c r="HL226" s="64"/>
      <c r="HM226" s="64"/>
      <c r="HN226" s="64"/>
      <c r="HO226" s="64"/>
      <c r="HP226" s="64"/>
      <c r="HQ226" s="64"/>
      <c r="HR226" s="64"/>
      <c r="HS226" s="64"/>
      <c r="HT226" s="64"/>
      <c r="HU226" s="64"/>
      <c r="HV226" s="64"/>
      <c r="HW226" s="64"/>
      <c r="HX226" s="64"/>
      <c r="HY226" s="64"/>
      <c r="HZ226" s="64"/>
      <c r="IA226" s="64"/>
      <c r="IB226" s="64"/>
      <c r="IC226" s="64"/>
      <c r="ID226" s="64"/>
      <c r="IE226" s="64"/>
      <c r="IF226" s="64"/>
      <c r="IG226" s="64"/>
      <c r="IH226" s="64"/>
      <c r="II226" s="64"/>
      <c r="IJ226" s="64"/>
      <c r="IK226" s="64"/>
      <c r="IL226" s="64"/>
      <c r="IM226" s="64"/>
      <c r="IN226" s="64"/>
      <c r="IO226" s="64"/>
      <c r="IP226" s="64"/>
      <c r="IQ226" s="64"/>
      <c r="IR226" s="64"/>
      <c r="IS226" s="64"/>
      <c r="IT226" s="64"/>
      <c r="IU226" s="64"/>
      <c r="IV226" s="64"/>
      <c r="IW226" s="64"/>
      <c r="IX226" s="64"/>
      <c r="IY226" s="64"/>
      <c r="IZ226" s="64"/>
      <c r="JA226" s="64"/>
      <c r="JB226" s="64"/>
      <c r="JC226" s="64"/>
      <c r="JD226" s="64"/>
      <c r="JE226" s="64"/>
      <c r="JF226" s="64"/>
      <c r="JG226" s="64"/>
      <c r="JH226" s="64"/>
      <c r="JI226" s="64"/>
    </row>
    <row r="227" spans="1:269" s="920" customFormat="1" x14ac:dyDescent="0.2">
      <c r="A227" s="116"/>
      <c r="B227" s="64"/>
      <c r="C227" s="64"/>
      <c r="D227" s="64"/>
      <c r="E227" s="64"/>
      <c r="F227" s="64"/>
      <c r="G227" s="64"/>
      <c r="H227" s="64"/>
      <c r="I227" s="64"/>
      <c r="J227" s="116"/>
      <c r="K227" s="116"/>
      <c r="L227" s="116"/>
      <c r="M227" s="116"/>
      <c r="N227" s="116"/>
      <c r="O227" s="116"/>
      <c r="P227" s="116"/>
      <c r="Q227" s="102"/>
      <c r="R227" s="102"/>
      <c r="S227" s="102"/>
      <c r="T227" s="102"/>
      <c r="U227" s="913"/>
      <c r="V227" s="114"/>
      <c r="W227" s="805"/>
      <c r="X227" s="805"/>
      <c r="Y227" s="805"/>
      <c r="Z227" s="914"/>
      <c r="AA227" s="102"/>
      <c r="AB227" s="102"/>
      <c r="AC227" s="102"/>
      <c r="AD227" s="102"/>
      <c r="AE227" s="102"/>
      <c r="AF227" s="102"/>
      <c r="AG227" s="102"/>
      <c r="AH227" s="102"/>
      <c r="AI227" s="102"/>
      <c r="AJ227" s="102"/>
      <c r="AK227" s="102"/>
      <c r="AL227" s="915"/>
      <c r="AM227" s="915"/>
      <c r="AN227" s="114"/>
      <c r="AO227" s="64"/>
      <c r="AP227" s="64"/>
      <c r="AQ227" s="64"/>
      <c r="AR227" s="916"/>
      <c r="AS227" s="916"/>
      <c r="AT227" s="916"/>
      <c r="AU227" s="917"/>
      <c r="AV227" s="917"/>
      <c r="AW227" s="917"/>
      <c r="AX227" s="918"/>
      <c r="AY227" s="916"/>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917"/>
      <c r="CA227" s="917"/>
      <c r="CB227" s="64"/>
      <c r="CC227" s="919"/>
      <c r="CD227" s="919"/>
      <c r="CE227" s="64"/>
      <c r="CF227" s="528"/>
      <c r="CG227" s="529"/>
      <c r="CH227" s="64"/>
      <c r="CI227" s="64"/>
      <c r="CJ227" s="64"/>
      <c r="CK227" s="64"/>
      <c r="CL227" s="64"/>
      <c r="CM227" s="64"/>
      <c r="CN227" s="64"/>
      <c r="CO227" s="64"/>
      <c r="CP227" s="64"/>
      <c r="CQ227" s="64"/>
      <c r="CR227" s="64"/>
      <c r="CS227" s="64"/>
      <c r="CT227" s="64"/>
      <c r="CU227" s="64"/>
      <c r="CV227" s="64"/>
      <c r="CW227" s="64"/>
      <c r="CX227" s="64"/>
      <c r="CY227" s="1011"/>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c r="FC227" s="64"/>
      <c r="FD227" s="64"/>
      <c r="FE227" s="64"/>
      <c r="FF227" s="64"/>
      <c r="FG227" s="64"/>
      <c r="FH227" s="64"/>
      <c r="FI227" s="64"/>
      <c r="FJ227" s="64"/>
      <c r="FK227" s="64"/>
      <c r="FL227" s="64"/>
      <c r="FM227" s="64"/>
      <c r="FN227" s="64"/>
      <c r="FO227" s="64"/>
      <c r="FP227" s="64"/>
      <c r="FQ227" s="64"/>
      <c r="FR227" s="64"/>
      <c r="FS227" s="64"/>
      <c r="FT227" s="64"/>
      <c r="FU227" s="64"/>
      <c r="FV227" s="64"/>
      <c r="FW227" s="64"/>
      <c r="FX227" s="64"/>
      <c r="FY227" s="64"/>
      <c r="FZ227" s="64"/>
      <c r="GA227" s="64"/>
      <c r="GB227" s="64"/>
      <c r="GC227" s="64"/>
      <c r="GD227" s="64"/>
      <c r="GE227" s="64"/>
      <c r="GF227" s="64"/>
      <c r="GG227" s="64"/>
      <c r="GH227" s="64"/>
      <c r="GI227" s="64"/>
      <c r="GJ227" s="64"/>
      <c r="GK227" s="64"/>
      <c r="GL227" s="64"/>
      <c r="GM227" s="64"/>
      <c r="GN227" s="64"/>
      <c r="GO227" s="64"/>
      <c r="GP227" s="64"/>
      <c r="GQ227" s="64"/>
      <c r="GR227" s="64"/>
      <c r="GS227" s="64"/>
      <c r="GT227" s="64"/>
      <c r="GU227" s="64"/>
      <c r="GV227" s="64"/>
      <c r="GW227" s="64"/>
      <c r="GX227" s="64"/>
      <c r="GY227" s="64"/>
      <c r="GZ227" s="64"/>
      <c r="HA227" s="64"/>
      <c r="HB227" s="64"/>
      <c r="HC227" s="64"/>
      <c r="HD227" s="64"/>
      <c r="HE227" s="64"/>
      <c r="HF227" s="64"/>
      <c r="HG227" s="64"/>
      <c r="HH227" s="64"/>
      <c r="HI227" s="64"/>
      <c r="HJ227" s="64"/>
      <c r="HK227" s="64"/>
      <c r="HL227" s="64"/>
      <c r="HM227" s="64"/>
      <c r="HN227" s="64"/>
      <c r="HO227" s="64"/>
      <c r="HP227" s="64"/>
      <c r="HQ227" s="64"/>
      <c r="HR227" s="64"/>
      <c r="HS227" s="64"/>
      <c r="HT227" s="64"/>
      <c r="HU227" s="64"/>
      <c r="HV227" s="64"/>
      <c r="HW227" s="64"/>
      <c r="HX227" s="64"/>
      <c r="HY227" s="64"/>
      <c r="HZ227" s="64"/>
      <c r="IA227" s="64"/>
      <c r="IB227" s="64"/>
      <c r="IC227" s="64"/>
      <c r="ID227" s="64"/>
      <c r="IE227" s="64"/>
      <c r="IF227" s="64"/>
      <c r="IG227" s="64"/>
      <c r="IH227" s="64"/>
      <c r="II227" s="64"/>
      <c r="IJ227" s="64"/>
      <c r="IK227" s="64"/>
      <c r="IL227" s="64"/>
      <c r="IM227" s="64"/>
      <c r="IN227" s="64"/>
      <c r="IO227" s="64"/>
      <c r="IP227" s="64"/>
      <c r="IQ227" s="64"/>
      <c r="IR227" s="64"/>
      <c r="IS227" s="64"/>
      <c r="IT227" s="64"/>
      <c r="IU227" s="64"/>
      <c r="IV227" s="64"/>
      <c r="IW227" s="64"/>
      <c r="IX227" s="64"/>
      <c r="IY227" s="64"/>
      <c r="IZ227" s="64"/>
      <c r="JA227" s="64"/>
      <c r="JB227" s="64"/>
      <c r="JC227" s="64"/>
      <c r="JD227" s="64"/>
      <c r="JE227" s="64"/>
      <c r="JF227" s="64"/>
      <c r="JG227" s="64"/>
      <c r="JH227" s="64"/>
      <c r="JI227" s="64"/>
    </row>
    <row r="228" spans="1:269" s="920" customFormat="1" x14ac:dyDescent="0.2">
      <c r="A228" s="116"/>
      <c r="B228" s="64"/>
      <c r="C228" s="64"/>
      <c r="D228" s="64"/>
      <c r="E228" s="64"/>
      <c r="F228" s="64"/>
      <c r="G228" s="64"/>
      <c r="H228" s="64"/>
      <c r="I228" s="64"/>
      <c r="J228" s="116"/>
      <c r="K228" s="116"/>
      <c r="L228" s="116"/>
      <c r="M228" s="116"/>
      <c r="N228" s="116"/>
      <c r="O228" s="116"/>
      <c r="P228" s="116"/>
      <c r="Q228" s="102"/>
      <c r="R228" s="102"/>
      <c r="S228" s="102"/>
      <c r="T228" s="102"/>
      <c r="U228" s="913"/>
      <c r="V228" s="114"/>
      <c r="W228" s="805"/>
      <c r="X228" s="805"/>
      <c r="Y228" s="805"/>
      <c r="Z228" s="914"/>
      <c r="AA228" s="102"/>
      <c r="AB228" s="102"/>
      <c r="AC228" s="102"/>
      <c r="AD228" s="102"/>
      <c r="AE228" s="102"/>
      <c r="AF228" s="102"/>
      <c r="AG228" s="102"/>
      <c r="AH228" s="102"/>
      <c r="AI228" s="102"/>
      <c r="AJ228" s="102"/>
      <c r="AK228" s="102"/>
      <c r="AL228" s="915"/>
      <c r="AM228" s="915"/>
      <c r="AN228" s="114"/>
      <c r="AO228" s="64"/>
      <c r="AP228" s="64"/>
      <c r="AQ228" s="64"/>
      <c r="AR228" s="916"/>
      <c r="AS228" s="916"/>
      <c r="AT228" s="916"/>
      <c r="AU228" s="917"/>
      <c r="AV228" s="917"/>
      <c r="AW228" s="917"/>
      <c r="AX228" s="918"/>
      <c r="AY228" s="916"/>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917"/>
      <c r="CA228" s="917"/>
      <c r="CB228" s="64"/>
      <c r="CC228" s="919"/>
      <c r="CD228" s="919"/>
      <c r="CE228" s="64"/>
      <c r="CF228" s="528"/>
      <c r="CG228" s="529"/>
      <c r="CH228" s="64"/>
      <c r="CI228" s="64"/>
      <c r="CJ228" s="64"/>
      <c r="CK228" s="64"/>
      <c r="CL228" s="64"/>
      <c r="CM228" s="64"/>
      <c r="CN228" s="64"/>
      <c r="CO228" s="64"/>
      <c r="CP228" s="64"/>
      <c r="CQ228" s="64"/>
      <c r="CR228" s="64"/>
      <c r="CS228" s="64"/>
      <c r="CT228" s="64"/>
      <c r="CU228" s="64"/>
      <c r="CV228" s="64"/>
      <c r="CW228" s="64"/>
      <c r="CX228" s="64"/>
      <c r="CY228" s="1011"/>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c r="FC228" s="64"/>
      <c r="FD228" s="64"/>
      <c r="FE228" s="64"/>
      <c r="FF228" s="64"/>
      <c r="FG228" s="64"/>
      <c r="FH228" s="64"/>
      <c r="FI228" s="64"/>
      <c r="FJ228" s="64"/>
      <c r="FK228" s="64"/>
      <c r="FL228" s="64"/>
      <c r="FM228" s="64"/>
      <c r="FN228" s="64"/>
      <c r="FO228" s="64"/>
      <c r="FP228" s="64"/>
      <c r="FQ228" s="64"/>
      <c r="FR228" s="64"/>
      <c r="FS228" s="64"/>
      <c r="FT228" s="64"/>
      <c r="FU228" s="64"/>
      <c r="FV228" s="64"/>
      <c r="FW228" s="64"/>
      <c r="FX228" s="64"/>
      <c r="FY228" s="64"/>
      <c r="FZ228" s="64"/>
      <c r="GA228" s="64"/>
      <c r="GB228" s="64"/>
      <c r="GC228" s="64"/>
      <c r="GD228" s="64"/>
      <c r="GE228" s="64"/>
      <c r="GF228" s="64"/>
      <c r="GG228" s="64"/>
      <c r="GH228" s="64"/>
      <c r="GI228" s="64"/>
      <c r="GJ228" s="64"/>
      <c r="GK228" s="64"/>
      <c r="GL228" s="64"/>
      <c r="GM228" s="64"/>
      <c r="GN228" s="64"/>
      <c r="GO228" s="64"/>
      <c r="GP228" s="64"/>
      <c r="GQ228" s="64"/>
      <c r="GR228" s="64"/>
      <c r="GS228" s="64"/>
      <c r="GT228" s="64"/>
      <c r="GU228" s="64"/>
      <c r="GV228" s="64"/>
      <c r="GW228" s="64"/>
      <c r="GX228" s="64"/>
      <c r="GY228" s="64"/>
      <c r="GZ228" s="64"/>
      <c r="HA228" s="64"/>
      <c r="HB228" s="64"/>
      <c r="HC228" s="64"/>
      <c r="HD228" s="64"/>
      <c r="HE228" s="64"/>
      <c r="HF228" s="64"/>
      <c r="HG228" s="64"/>
      <c r="HH228" s="64"/>
      <c r="HI228" s="64"/>
      <c r="HJ228" s="64"/>
      <c r="HK228" s="64"/>
      <c r="HL228" s="64"/>
      <c r="HM228" s="64"/>
      <c r="HN228" s="64"/>
      <c r="HO228" s="64"/>
      <c r="HP228" s="64"/>
      <c r="HQ228" s="64"/>
      <c r="HR228" s="64"/>
      <c r="HS228" s="64"/>
      <c r="HT228" s="64"/>
      <c r="HU228" s="64"/>
      <c r="HV228" s="64"/>
      <c r="HW228" s="64"/>
      <c r="HX228" s="64"/>
      <c r="HY228" s="64"/>
      <c r="HZ228" s="64"/>
      <c r="IA228" s="64"/>
      <c r="IB228" s="64"/>
      <c r="IC228" s="64"/>
      <c r="ID228" s="64"/>
      <c r="IE228" s="64"/>
      <c r="IF228" s="64"/>
      <c r="IG228" s="64"/>
      <c r="IH228" s="64"/>
      <c r="II228" s="64"/>
      <c r="IJ228" s="64"/>
      <c r="IK228" s="64"/>
      <c r="IL228" s="64"/>
      <c r="IM228" s="64"/>
      <c r="IN228" s="64"/>
      <c r="IO228" s="64"/>
      <c r="IP228" s="64"/>
      <c r="IQ228" s="64"/>
      <c r="IR228" s="64"/>
      <c r="IS228" s="64"/>
      <c r="IT228" s="64"/>
      <c r="IU228" s="64"/>
      <c r="IV228" s="64"/>
      <c r="IW228" s="64"/>
      <c r="IX228" s="64"/>
      <c r="IY228" s="64"/>
      <c r="IZ228" s="64"/>
      <c r="JA228" s="64"/>
      <c r="JB228" s="64"/>
      <c r="JC228" s="64"/>
      <c r="JD228" s="64"/>
      <c r="JE228" s="64"/>
      <c r="JF228" s="64"/>
      <c r="JG228" s="64"/>
      <c r="JH228" s="64"/>
      <c r="JI228" s="64"/>
    </row>
    <row r="229" spans="1:269" s="920" customFormat="1" x14ac:dyDescent="0.2">
      <c r="A229" s="116"/>
      <c r="B229" s="64"/>
      <c r="C229" s="64"/>
      <c r="D229" s="64"/>
      <c r="E229" s="64"/>
      <c r="F229" s="64"/>
      <c r="G229" s="64"/>
      <c r="H229" s="64"/>
      <c r="I229" s="64"/>
      <c r="J229" s="116"/>
      <c r="K229" s="116"/>
      <c r="L229" s="116"/>
      <c r="M229" s="116"/>
      <c r="N229" s="116"/>
      <c r="O229" s="116"/>
      <c r="P229" s="116"/>
      <c r="Q229" s="102"/>
      <c r="R229" s="102"/>
      <c r="S229" s="102"/>
      <c r="T229" s="102"/>
      <c r="U229" s="913"/>
      <c r="V229" s="114"/>
      <c r="W229" s="805"/>
      <c r="X229" s="805"/>
      <c r="Y229" s="805"/>
      <c r="Z229" s="914"/>
      <c r="AA229" s="102"/>
      <c r="AB229" s="102"/>
      <c r="AC229" s="102"/>
      <c r="AD229" s="102"/>
      <c r="AE229" s="102"/>
      <c r="AF229" s="102"/>
      <c r="AG229" s="102"/>
      <c r="AH229" s="102"/>
      <c r="AI229" s="102"/>
      <c r="AJ229" s="102"/>
      <c r="AK229" s="102"/>
      <c r="AL229" s="915"/>
      <c r="AM229" s="915"/>
      <c r="AN229" s="114"/>
      <c r="AO229" s="64"/>
      <c r="AP229" s="64"/>
      <c r="AQ229" s="64"/>
      <c r="AR229" s="916"/>
      <c r="AS229" s="916"/>
      <c r="AT229" s="916"/>
      <c r="AU229" s="917"/>
      <c r="AV229" s="917"/>
      <c r="AW229" s="917"/>
      <c r="AX229" s="918"/>
      <c r="AY229" s="916"/>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917"/>
      <c r="CA229" s="917"/>
      <c r="CB229" s="64"/>
      <c r="CC229" s="919"/>
      <c r="CD229" s="919"/>
      <c r="CE229" s="64"/>
      <c r="CF229" s="528"/>
      <c r="CG229" s="529"/>
      <c r="CH229" s="64"/>
      <c r="CI229" s="64"/>
      <c r="CJ229" s="64"/>
      <c r="CK229" s="64"/>
      <c r="CL229" s="64"/>
      <c r="CM229" s="64"/>
      <c r="CN229" s="64"/>
      <c r="CO229" s="64"/>
      <c r="CP229" s="64"/>
      <c r="CQ229" s="64"/>
      <c r="CR229" s="64"/>
      <c r="CS229" s="64"/>
      <c r="CT229" s="64"/>
      <c r="CU229" s="64"/>
      <c r="CV229" s="64"/>
      <c r="CW229" s="64"/>
      <c r="CX229" s="64"/>
      <c r="CY229" s="1011"/>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c r="FC229" s="64"/>
      <c r="FD229" s="64"/>
      <c r="FE229" s="64"/>
      <c r="FF229" s="64"/>
      <c r="FG229" s="64"/>
      <c r="FH229" s="64"/>
      <c r="FI229" s="64"/>
      <c r="FJ229" s="64"/>
      <c r="FK229" s="64"/>
      <c r="FL229" s="64"/>
      <c r="FM229" s="64"/>
      <c r="FN229" s="64"/>
      <c r="FO229" s="64"/>
      <c r="FP229" s="64"/>
      <c r="FQ229" s="64"/>
      <c r="FR229" s="64"/>
      <c r="FS229" s="64"/>
      <c r="FT229" s="64"/>
      <c r="FU229" s="64"/>
      <c r="FV229" s="64"/>
      <c r="FW229" s="64"/>
      <c r="FX229" s="64"/>
      <c r="FY229" s="64"/>
      <c r="FZ229" s="64"/>
      <c r="GA229" s="64"/>
      <c r="GB229" s="64"/>
      <c r="GC229" s="64"/>
      <c r="GD229" s="64"/>
      <c r="GE229" s="64"/>
      <c r="GF229" s="64"/>
      <c r="GG229" s="64"/>
      <c r="GH229" s="64"/>
      <c r="GI229" s="64"/>
      <c r="GJ229" s="64"/>
      <c r="GK229" s="64"/>
      <c r="GL229" s="64"/>
      <c r="GM229" s="64"/>
      <c r="GN229" s="64"/>
      <c r="GO229" s="64"/>
      <c r="GP229" s="64"/>
      <c r="GQ229" s="64"/>
      <c r="GR229" s="64"/>
      <c r="GS229" s="64"/>
      <c r="GT229" s="64"/>
      <c r="GU229" s="64"/>
      <c r="GV229" s="64"/>
      <c r="GW229" s="64"/>
      <c r="GX229" s="64"/>
      <c r="GY229" s="64"/>
      <c r="GZ229" s="64"/>
      <c r="HA229" s="64"/>
      <c r="HB229" s="64"/>
      <c r="HC229" s="64"/>
      <c r="HD229" s="64"/>
      <c r="HE229" s="64"/>
      <c r="HF229" s="64"/>
      <c r="HG229" s="64"/>
      <c r="HH229" s="64"/>
      <c r="HI229" s="64"/>
      <c r="HJ229" s="64"/>
      <c r="HK229" s="64"/>
      <c r="HL229" s="64"/>
      <c r="HM229" s="64"/>
      <c r="HN229" s="64"/>
      <c r="HO229" s="64"/>
      <c r="HP229" s="64"/>
      <c r="HQ229" s="64"/>
      <c r="HR229" s="64"/>
      <c r="HS229" s="64"/>
      <c r="HT229" s="64"/>
      <c r="HU229" s="64"/>
      <c r="HV229" s="64"/>
      <c r="HW229" s="64"/>
      <c r="HX229" s="64"/>
      <c r="HY229" s="64"/>
      <c r="HZ229" s="64"/>
      <c r="IA229" s="64"/>
      <c r="IB229" s="64"/>
      <c r="IC229" s="64"/>
      <c r="ID229" s="64"/>
      <c r="IE229" s="64"/>
      <c r="IF229" s="64"/>
      <c r="IG229" s="64"/>
      <c r="IH229" s="64"/>
      <c r="II229" s="64"/>
      <c r="IJ229" s="64"/>
      <c r="IK229" s="64"/>
      <c r="IL229" s="64"/>
      <c r="IM229" s="64"/>
      <c r="IN229" s="64"/>
      <c r="IO229" s="64"/>
      <c r="IP229" s="64"/>
      <c r="IQ229" s="64"/>
      <c r="IR229" s="64"/>
      <c r="IS229" s="64"/>
      <c r="IT229" s="64"/>
      <c r="IU229" s="64"/>
      <c r="IV229" s="64"/>
      <c r="IW229" s="64"/>
      <c r="IX229" s="64"/>
      <c r="IY229" s="64"/>
      <c r="IZ229" s="64"/>
      <c r="JA229" s="64"/>
      <c r="JB229" s="64"/>
      <c r="JC229" s="64"/>
      <c r="JD229" s="64"/>
      <c r="JE229" s="64"/>
      <c r="JF229" s="64"/>
      <c r="JG229" s="64"/>
      <c r="JH229" s="64"/>
      <c r="JI229" s="64"/>
    </row>
    <row r="230" spans="1:269" s="920" customFormat="1" x14ac:dyDescent="0.2">
      <c r="A230" s="116"/>
      <c r="B230" s="64"/>
      <c r="C230" s="64"/>
      <c r="D230" s="64"/>
      <c r="E230" s="64"/>
      <c r="F230" s="64"/>
      <c r="G230" s="64"/>
      <c r="H230" s="64"/>
      <c r="I230" s="64"/>
      <c r="J230" s="116"/>
      <c r="K230" s="116"/>
      <c r="L230" s="116"/>
      <c r="M230" s="116"/>
      <c r="N230" s="116"/>
      <c r="O230" s="116"/>
      <c r="P230" s="116"/>
      <c r="Q230" s="102"/>
      <c r="R230" s="102"/>
      <c r="S230" s="102"/>
      <c r="T230" s="102"/>
      <c r="U230" s="913"/>
      <c r="V230" s="114"/>
      <c r="W230" s="805"/>
      <c r="X230" s="805"/>
      <c r="Y230" s="805"/>
      <c r="Z230" s="914"/>
      <c r="AA230" s="102"/>
      <c r="AB230" s="102"/>
      <c r="AC230" s="102"/>
      <c r="AD230" s="102"/>
      <c r="AE230" s="102"/>
      <c r="AF230" s="102"/>
      <c r="AG230" s="102"/>
      <c r="AH230" s="102"/>
      <c r="AI230" s="102"/>
      <c r="AJ230" s="102"/>
      <c r="AK230" s="102"/>
      <c r="AL230" s="915"/>
      <c r="AM230" s="915"/>
      <c r="AN230" s="114"/>
      <c r="AO230" s="64"/>
      <c r="AP230" s="64"/>
      <c r="AQ230" s="64"/>
      <c r="AR230" s="916"/>
      <c r="AS230" s="916"/>
      <c r="AT230" s="916"/>
      <c r="AU230" s="917"/>
      <c r="AV230" s="917"/>
      <c r="AW230" s="917"/>
      <c r="AX230" s="918"/>
      <c r="AY230" s="916"/>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917"/>
      <c r="CA230" s="917"/>
      <c r="CB230" s="64"/>
      <c r="CC230" s="919"/>
      <c r="CD230" s="919"/>
      <c r="CE230" s="64"/>
      <c r="CF230" s="528"/>
      <c r="CG230" s="529"/>
      <c r="CH230" s="64"/>
      <c r="CI230" s="64"/>
      <c r="CJ230" s="64"/>
      <c r="CK230" s="64"/>
      <c r="CL230" s="64"/>
      <c r="CM230" s="64"/>
      <c r="CN230" s="64"/>
      <c r="CO230" s="64"/>
      <c r="CP230" s="64"/>
      <c r="CQ230" s="64"/>
      <c r="CR230" s="64"/>
      <c r="CS230" s="64"/>
      <c r="CT230" s="64"/>
      <c r="CU230" s="64"/>
      <c r="CV230" s="64"/>
      <c r="CW230" s="64"/>
      <c r="CX230" s="64"/>
      <c r="CY230" s="1011"/>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c r="FC230" s="64"/>
      <c r="FD230" s="64"/>
      <c r="FE230" s="64"/>
      <c r="FF230" s="64"/>
      <c r="FG230" s="64"/>
      <c r="FH230" s="64"/>
      <c r="FI230" s="64"/>
      <c r="FJ230" s="64"/>
      <c r="FK230" s="64"/>
      <c r="FL230" s="64"/>
      <c r="FM230" s="64"/>
      <c r="FN230" s="64"/>
      <c r="FO230" s="64"/>
      <c r="FP230" s="64"/>
      <c r="FQ230" s="64"/>
      <c r="FR230" s="64"/>
      <c r="FS230" s="64"/>
      <c r="FT230" s="64"/>
      <c r="FU230" s="64"/>
      <c r="FV230" s="64"/>
      <c r="FW230" s="64"/>
      <c r="FX230" s="64"/>
      <c r="FY230" s="64"/>
      <c r="FZ230" s="64"/>
      <c r="GA230" s="64"/>
      <c r="GB230" s="64"/>
      <c r="GC230" s="64"/>
      <c r="GD230" s="64"/>
      <c r="GE230" s="64"/>
      <c r="GF230" s="64"/>
      <c r="GG230" s="64"/>
      <c r="GH230" s="64"/>
      <c r="GI230" s="64"/>
      <c r="GJ230" s="64"/>
      <c r="GK230" s="64"/>
      <c r="GL230" s="64"/>
      <c r="GM230" s="64"/>
      <c r="GN230" s="64"/>
      <c r="GO230" s="64"/>
      <c r="GP230" s="64"/>
      <c r="GQ230" s="64"/>
      <c r="GR230" s="64"/>
      <c r="GS230" s="64"/>
      <c r="GT230" s="64"/>
      <c r="GU230" s="64"/>
      <c r="GV230" s="64"/>
      <c r="GW230" s="64"/>
      <c r="GX230" s="64"/>
      <c r="GY230" s="64"/>
      <c r="GZ230" s="64"/>
      <c r="HA230" s="64"/>
      <c r="HB230" s="64"/>
      <c r="HC230" s="64"/>
      <c r="HD230" s="64"/>
      <c r="HE230" s="64"/>
      <c r="HF230" s="64"/>
      <c r="HG230" s="64"/>
      <c r="HH230" s="64"/>
      <c r="HI230" s="64"/>
      <c r="HJ230" s="64"/>
      <c r="HK230" s="64"/>
      <c r="HL230" s="64"/>
      <c r="HM230" s="64"/>
      <c r="HN230" s="64"/>
      <c r="HO230" s="64"/>
      <c r="HP230" s="64"/>
      <c r="HQ230" s="64"/>
      <c r="HR230" s="64"/>
      <c r="HS230" s="64"/>
      <c r="HT230" s="64"/>
      <c r="HU230" s="64"/>
      <c r="HV230" s="64"/>
      <c r="HW230" s="64"/>
      <c r="HX230" s="64"/>
      <c r="HY230" s="64"/>
      <c r="HZ230" s="64"/>
      <c r="IA230" s="64"/>
      <c r="IB230" s="64"/>
      <c r="IC230" s="64"/>
      <c r="ID230" s="64"/>
      <c r="IE230" s="64"/>
      <c r="IF230" s="64"/>
      <c r="IG230" s="64"/>
      <c r="IH230" s="64"/>
      <c r="II230" s="64"/>
      <c r="IJ230" s="64"/>
      <c r="IK230" s="64"/>
      <c r="IL230" s="64"/>
      <c r="IM230" s="64"/>
      <c r="IN230" s="64"/>
      <c r="IO230" s="64"/>
      <c r="IP230" s="64"/>
      <c r="IQ230" s="64"/>
      <c r="IR230" s="64"/>
      <c r="IS230" s="64"/>
      <c r="IT230" s="64"/>
      <c r="IU230" s="64"/>
      <c r="IV230" s="64"/>
      <c r="IW230" s="64"/>
      <c r="IX230" s="64"/>
      <c r="IY230" s="64"/>
      <c r="IZ230" s="64"/>
      <c r="JA230" s="64"/>
      <c r="JB230" s="64"/>
      <c r="JC230" s="64"/>
      <c r="JD230" s="64"/>
      <c r="JE230" s="64"/>
      <c r="JF230" s="64"/>
      <c r="JG230" s="64"/>
      <c r="JH230" s="64"/>
      <c r="JI230" s="64"/>
    </row>
    <row r="231" spans="1:269" s="920" customFormat="1" x14ac:dyDescent="0.2">
      <c r="A231" s="116"/>
      <c r="B231" s="64"/>
      <c r="C231" s="64"/>
      <c r="D231" s="64"/>
      <c r="E231" s="64"/>
      <c r="F231" s="64"/>
      <c r="G231" s="64"/>
      <c r="H231" s="64"/>
      <c r="I231" s="64"/>
      <c r="J231" s="116"/>
      <c r="K231" s="116"/>
      <c r="L231" s="116"/>
      <c r="M231" s="116"/>
      <c r="N231" s="116"/>
      <c r="O231" s="116"/>
      <c r="P231" s="116"/>
      <c r="Q231" s="102"/>
      <c r="R231" s="102"/>
      <c r="S231" s="102"/>
      <c r="T231" s="102"/>
      <c r="U231" s="913"/>
      <c r="V231" s="114"/>
      <c r="W231" s="805"/>
      <c r="X231" s="805"/>
      <c r="Y231" s="805"/>
      <c r="Z231" s="914"/>
      <c r="AA231" s="102"/>
      <c r="AB231" s="102"/>
      <c r="AC231" s="102"/>
      <c r="AD231" s="102"/>
      <c r="AE231" s="102"/>
      <c r="AF231" s="102"/>
      <c r="AG231" s="102"/>
      <c r="AH231" s="102"/>
      <c r="AI231" s="102"/>
      <c r="AJ231" s="102"/>
      <c r="AK231" s="102"/>
      <c r="AL231" s="915"/>
      <c r="AM231" s="915"/>
      <c r="AN231" s="114"/>
      <c r="AO231" s="64"/>
      <c r="AP231" s="64"/>
      <c r="AQ231" s="64"/>
      <c r="AR231" s="916"/>
      <c r="AS231" s="916"/>
      <c r="AT231" s="916"/>
      <c r="AU231" s="917"/>
      <c r="AV231" s="917"/>
      <c r="AW231" s="917"/>
      <c r="AX231" s="918"/>
      <c r="AY231" s="916"/>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917"/>
      <c r="CA231" s="917"/>
      <c r="CB231" s="64"/>
      <c r="CC231" s="919"/>
      <c r="CD231" s="919"/>
      <c r="CE231" s="64"/>
      <c r="CF231" s="528"/>
      <c r="CG231" s="529"/>
      <c r="CH231" s="64"/>
      <c r="CI231" s="64"/>
      <c r="CJ231" s="64"/>
      <c r="CK231" s="64"/>
      <c r="CL231" s="64"/>
      <c r="CM231" s="64"/>
      <c r="CN231" s="64"/>
      <c r="CO231" s="64"/>
      <c r="CP231" s="64"/>
      <c r="CQ231" s="64"/>
      <c r="CR231" s="64"/>
      <c r="CS231" s="64"/>
      <c r="CT231" s="64"/>
      <c r="CU231" s="64"/>
      <c r="CV231" s="64"/>
      <c r="CW231" s="64"/>
      <c r="CX231" s="64"/>
      <c r="CY231" s="1011"/>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c r="FC231" s="64"/>
      <c r="FD231" s="64"/>
      <c r="FE231" s="64"/>
      <c r="FF231" s="64"/>
      <c r="FG231" s="64"/>
      <c r="FH231" s="64"/>
      <c r="FI231" s="64"/>
      <c r="FJ231" s="64"/>
      <c r="FK231" s="64"/>
      <c r="FL231" s="64"/>
      <c r="FM231" s="64"/>
      <c r="FN231" s="64"/>
      <c r="FO231" s="64"/>
      <c r="FP231" s="64"/>
      <c r="FQ231" s="64"/>
      <c r="FR231" s="64"/>
      <c r="FS231" s="64"/>
      <c r="FT231" s="64"/>
      <c r="FU231" s="64"/>
      <c r="FV231" s="64"/>
      <c r="FW231" s="64"/>
      <c r="FX231" s="64"/>
      <c r="FY231" s="64"/>
      <c r="FZ231" s="64"/>
      <c r="GA231" s="64"/>
      <c r="GB231" s="64"/>
      <c r="GC231" s="64"/>
      <c r="GD231" s="64"/>
      <c r="GE231" s="64"/>
      <c r="GF231" s="64"/>
      <c r="GG231" s="64"/>
      <c r="GH231" s="64"/>
      <c r="GI231" s="64"/>
      <c r="GJ231" s="64"/>
      <c r="GK231" s="64"/>
      <c r="GL231" s="64"/>
      <c r="GM231" s="64"/>
      <c r="GN231" s="64"/>
      <c r="GO231" s="64"/>
      <c r="GP231" s="64"/>
      <c r="GQ231" s="64"/>
      <c r="GR231" s="64"/>
      <c r="GS231" s="64"/>
      <c r="GT231" s="64"/>
      <c r="GU231" s="64"/>
      <c r="GV231" s="64"/>
      <c r="GW231" s="64"/>
      <c r="GX231" s="64"/>
      <c r="GY231" s="64"/>
      <c r="GZ231" s="64"/>
      <c r="HA231" s="64"/>
      <c r="HB231" s="64"/>
      <c r="HC231" s="64"/>
      <c r="HD231" s="64"/>
      <c r="HE231" s="64"/>
      <c r="HF231" s="64"/>
      <c r="HG231" s="64"/>
      <c r="HH231" s="64"/>
      <c r="HI231" s="64"/>
      <c r="HJ231" s="64"/>
      <c r="HK231" s="64"/>
      <c r="HL231" s="64"/>
      <c r="HM231" s="64"/>
      <c r="HN231" s="64"/>
      <c r="HO231" s="64"/>
      <c r="HP231" s="64"/>
      <c r="HQ231" s="64"/>
      <c r="HR231" s="64"/>
      <c r="HS231" s="64"/>
      <c r="HT231" s="64"/>
      <c r="HU231" s="64"/>
      <c r="HV231" s="64"/>
      <c r="HW231" s="64"/>
      <c r="HX231" s="64"/>
      <c r="HY231" s="64"/>
      <c r="HZ231" s="64"/>
      <c r="IA231" s="64"/>
      <c r="IB231" s="64"/>
      <c r="IC231" s="64"/>
      <c r="ID231" s="64"/>
      <c r="IE231" s="64"/>
      <c r="IF231" s="64"/>
      <c r="IG231" s="64"/>
      <c r="IH231" s="64"/>
      <c r="II231" s="64"/>
      <c r="IJ231" s="64"/>
      <c r="IK231" s="64"/>
      <c r="IL231" s="64"/>
      <c r="IM231" s="64"/>
      <c r="IN231" s="64"/>
      <c r="IO231" s="64"/>
      <c r="IP231" s="64"/>
      <c r="IQ231" s="64"/>
      <c r="IR231" s="64"/>
      <c r="IS231" s="64"/>
      <c r="IT231" s="64"/>
      <c r="IU231" s="64"/>
      <c r="IV231" s="64"/>
      <c r="IW231" s="64"/>
      <c r="IX231" s="64"/>
      <c r="IY231" s="64"/>
      <c r="IZ231" s="64"/>
      <c r="JA231" s="64"/>
      <c r="JB231" s="64"/>
      <c r="JC231" s="64"/>
      <c r="JD231" s="64"/>
      <c r="JE231" s="64"/>
      <c r="JF231" s="64"/>
      <c r="JG231" s="64"/>
      <c r="JH231" s="64"/>
      <c r="JI231" s="64"/>
    </row>
    <row r="232" spans="1:269" s="920" customFormat="1" x14ac:dyDescent="0.2">
      <c r="A232" s="116"/>
      <c r="B232" s="64"/>
      <c r="C232" s="64"/>
      <c r="D232" s="64"/>
      <c r="E232" s="64"/>
      <c r="F232" s="64"/>
      <c r="G232" s="64"/>
      <c r="H232" s="64"/>
      <c r="I232" s="64"/>
      <c r="J232" s="116"/>
      <c r="K232" s="116"/>
      <c r="L232" s="116"/>
      <c r="M232" s="116"/>
      <c r="N232" s="116"/>
      <c r="O232" s="116"/>
      <c r="P232" s="116"/>
      <c r="Q232" s="102"/>
      <c r="R232" s="102"/>
      <c r="S232" s="102"/>
      <c r="T232" s="102"/>
      <c r="U232" s="913"/>
      <c r="V232" s="114"/>
      <c r="W232" s="805"/>
      <c r="X232" s="805"/>
      <c r="Y232" s="805"/>
      <c r="Z232" s="914"/>
      <c r="AA232" s="102"/>
      <c r="AB232" s="102"/>
      <c r="AC232" s="102"/>
      <c r="AD232" s="102"/>
      <c r="AE232" s="102"/>
      <c r="AF232" s="102"/>
      <c r="AG232" s="102"/>
      <c r="AH232" s="102"/>
      <c r="AI232" s="102"/>
      <c r="AJ232" s="102"/>
      <c r="AK232" s="102"/>
      <c r="AL232" s="915"/>
      <c r="AM232" s="915"/>
      <c r="AN232" s="114"/>
      <c r="AO232" s="64"/>
      <c r="AP232" s="64"/>
      <c r="AQ232" s="64"/>
      <c r="AR232" s="916"/>
      <c r="AS232" s="916"/>
      <c r="AT232" s="916"/>
      <c r="AU232" s="917"/>
      <c r="AV232" s="917"/>
      <c r="AW232" s="917"/>
      <c r="AX232" s="918"/>
      <c r="AY232" s="916"/>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917"/>
      <c r="CA232" s="917"/>
      <c r="CB232" s="64"/>
      <c r="CC232" s="919"/>
      <c r="CD232" s="919"/>
      <c r="CE232" s="64"/>
      <c r="CF232" s="528"/>
      <c r="CG232" s="529"/>
      <c r="CH232" s="64"/>
      <c r="CI232" s="64"/>
      <c r="CJ232" s="64"/>
      <c r="CK232" s="64"/>
      <c r="CL232" s="64"/>
      <c r="CM232" s="64"/>
      <c r="CN232" s="64"/>
      <c r="CO232" s="64"/>
      <c r="CP232" s="64"/>
      <c r="CQ232" s="64"/>
      <c r="CR232" s="64"/>
      <c r="CS232" s="64"/>
      <c r="CT232" s="64"/>
      <c r="CU232" s="64"/>
      <c r="CV232" s="64"/>
      <c r="CW232" s="64"/>
      <c r="CX232" s="64"/>
      <c r="CY232" s="1011"/>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c r="FC232" s="64"/>
      <c r="FD232" s="64"/>
      <c r="FE232" s="64"/>
      <c r="FF232" s="64"/>
      <c r="FG232" s="64"/>
      <c r="FH232" s="64"/>
      <c r="FI232" s="64"/>
      <c r="FJ232" s="64"/>
      <c r="FK232" s="64"/>
      <c r="FL232" s="64"/>
      <c r="FM232" s="64"/>
      <c r="FN232" s="64"/>
      <c r="FO232" s="64"/>
      <c r="FP232" s="64"/>
      <c r="FQ232" s="64"/>
      <c r="FR232" s="64"/>
      <c r="FS232" s="64"/>
      <c r="FT232" s="64"/>
      <c r="FU232" s="64"/>
      <c r="FV232" s="64"/>
      <c r="FW232" s="64"/>
      <c r="FX232" s="64"/>
      <c r="FY232" s="64"/>
      <c r="FZ232" s="64"/>
      <c r="GA232" s="64"/>
      <c r="GB232" s="64"/>
      <c r="GC232" s="64"/>
      <c r="GD232" s="64"/>
      <c r="GE232" s="64"/>
      <c r="GF232" s="64"/>
      <c r="GG232" s="64"/>
      <c r="GH232" s="64"/>
      <c r="GI232" s="64"/>
      <c r="GJ232" s="64"/>
      <c r="GK232" s="64"/>
      <c r="GL232" s="64"/>
      <c r="GM232" s="64"/>
      <c r="GN232" s="64"/>
      <c r="GO232" s="64"/>
      <c r="GP232" s="64"/>
      <c r="GQ232" s="64"/>
      <c r="GR232" s="64"/>
      <c r="GS232" s="64"/>
      <c r="GT232" s="64"/>
      <c r="GU232" s="64"/>
      <c r="GV232" s="64"/>
      <c r="GW232" s="64"/>
      <c r="GX232" s="64"/>
      <c r="GY232" s="64"/>
      <c r="GZ232" s="64"/>
      <c r="HA232" s="64"/>
      <c r="HB232" s="64"/>
      <c r="HC232" s="64"/>
      <c r="HD232" s="64"/>
      <c r="HE232" s="64"/>
      <c r="HF232" s="64"/>
      <c r="HG232" s="64"/>
      <c r="HH232" s="64"/>
      <c r="HI232" s="64"/>
      <c r="HJ232" s="64"/>
      <c r="HK232" s="64"/>
      <c r="HL232" s="64"/>
      <c r="HM232" s="64"/>
      <c r="HN232" s="64"/>
      <c r="HO232" s="64"/>
      <c r="HP232" s="64"/>
      <c r="HQ232" s="64"/>
      <c r="HR232" s="64"/>
      <c r="HS232" s="64"/>
      <c r="HT232" s="64"/>
      <c r="HU232" s="64"/>
      <c r="HV232" s="64"/>
      <c r="HW232" s="64"/>
      <c r="HX232" s="64"/>
      <c r="HY232" s="64"/>
      <c r="HZ232" s="64"/>
      <c r="IA232" s="64"/>
      <c r="IB232" s="64"/>
      <c r="IC232" s="64"/>
      <c r="ID232" s="64"/>
      <c r="IE232" s="64"/>
      <c r="IF232" s="64"/>
      <c r="IG232" s="64"/>
      <c r="IH232" s="64"/>
      <c r="II232" s="64"/>
      <c r="IJ232" s="64"/>
      <c r="IK232" s="64"/>
      <c r="IL232" s="64"/>
      <c r="IM232" s="64"/>
      <c r="IN232" s="64"/>
      <c r="IO232" s="64"/>
      <c r="IP232" s="64"/>
      <c r="IQ232" s="64"/>
      <c r="IR232" s="64"/>
      <c r="IS232" s="64"/>
      <c r="IT232" s="64"/>
      <c r="IU232" s="64"/>
      <c r="IV232" s="64"/>
      <c r="IW232" s="64"/>
      <c r="IX232" s="64"/>
      <c r="IY232" s="64"/>
      <c r="IZ232" s="64"/>
      <c r="JA232" s="64"/>
      <c r="JB232" s="64"/>
      <c r="JC232" s="64"/>
      <c r="JD232" s="64"/>
      <c r="JE232" s="64"/>
      <c r="JF232" s="64"/>
      <c r="JG232" s="64"/>
      <c r="JH232" s="64"/>
      <c r="JI232" s="64"/>
    </row>
    <row r="233" spans="1:269" s="920" customFormat="1" x14ac:dyDescent="0.2">
      <c r="A233" s="116"/>
      <c r="B233" s="64"/>
      <c r="C233" s="64"/>
      <c r="D233" s="64"/>
      <c r="E233" s="64"/>
      <c r="F233" s="64"/>
      <c r="G233" s="64"/>
      <c r="H233" s="64"/>
      <c r="I233" s="64"/>
      <c r="J233" s="116"/>
      <c r="K233" s="116"/>
      <c r="L233" s="116"/>
      <c r="M233" s="116"/>
      <c r="N233" s="116"/>
      <c r="O233" s="116"/>
      <c r="P233" s="116"/>
      <c r="Q233" s="102"/>
      <c r="R233" s="102"/>
      <c r="S233" s="102"/>
      <c r="T233" s="102"/>
      <c r="U233" s="913"/>
      <c r="V233" s="114"/>
      <c r="W233" s="805"/>
      <c r="X233" s="805"/>
      <c r="Y233" s="805"/>
      <c r="Z233" s="914"/>
      <c r="AA233" s="102"/>
      <c r="AB233" s="102"/>
      <c r="AC233" s="102"/>
      <c r="AD233" s="102"/>
      <c r="AE233" s="102"/>
      <c r="AF233" s="102"/>
      <c r="AG233" s="102"/>
      <c r="AH233" s="102"/>
      <c r="AI233" s="102"/>
      <c r="AJ233" s="102"/>
      <c r="AK233" s="102"/>
      <c r="AL233" s="915"/>
      <c r="AM233" s="915"/>
      <c r="AN233" s="114"/>
      <c r="AO233" s="64"/>
      <c r="AP233" s="64"/>
      <c r="AQ233" s="64"/>
      <c r="AR233" s="916"/>
      <c r="AS233" s="916"/>
      <c r="AT233" s="916"/>
      <c r="AU233" s="917"/>
      <c r="AV233" s="917"/>
      <c r="AW233" s="917"/>
      <c r="AX233" s="918"/>
      <c r="AY233" s="916"/>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917"/>
      <c r="CA233" s="917"/>
      <c r="CB233" s="64"/>
      <c r="CC233" s="919"/>
      <c r="CD233" s="919"/>
      <c r="CE233" s="64"/>
      <c r="CF233" s="528"/>
      <c r="CG233" s="529"/>
      <c r="CH233" s="64"/>
      <c r="CI233" s="64"/>
      <c r="CJ233" s="64"/>
      <c r="CK233" s="64"/>
      <c r="CL233" s="64"/>
      <c r="CM233" s="64"/>
      <c r="CN233" s="64"/>
      <c r="CO233" s="64"/>
      <c r="CP233" s="64"/>
      <c r="CQ233" s="64"/>
      <c r="CR233" s="64"/>
      <c r="CS233" s="64"/>
      <c r="CT233" s="64"/>
      <c r="CU233" s="64"/>
      <c r="CV233" s="64"/>
      <c r="CW233" s="64"/>
      <c r="CX233" s="64"/>
      <c r="CY233" s="1011"/>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c r="FC233" s="64"/>
      <c r="FD233" s="64"/>
      <c r="FE233" s="64"/>
      <c r="FF233" s="64"/>
      <c r="FG233" s="64"/>
      <c r="FH233" s="64"/>
      <c r="FI233" s="64"/>
      <c r="FJ233" s="64"/>
      <c r="FK233" s="64"/>
      <c r="FL233" s="64"/>
      <c r="FM233" s="64"/>
      <c r="FN233" s="64"/>
      <c r="FO233" s="64"/>
      <c r="FP233" s="64"/>
      <c r="FQ233" s="64"/>
      <c r="FR233" s="64"/>
      <c r="FS233" s="64"/>
      <c r="FT233" s="64"/>
      <c r="FU233" s="64"/>
      <c r="FV233" s="64"/>
      <c r="FW233" s="64"/>
      <c r="FX233" s="64"/>
      <c r="FY233" s="64"/>
      <c r="FZ233" s="64"/>
      <c r="GA233" s="64"/>
      <c r="GB233" s="64"/>
      <c r="GC233" s="64"/>
      <c r="GD233" s="64"/>
      <c r="GE233" s="64"/>
      <c r="GF233" s="64"/>
      <c r="GG233" s="64"/>
      <c r="GH233" s="64"/>
      <c r="GI233" s="64"/>
      <c r="GJ233" s="64"/>
      <c r="GK233" s="64"/>
      <c r="GL233" s="64"/>
      <c r="GM233" s="64"/>
      <c r="GN233" s="64"/>
      <c r="GO233" s="64"/>
      <c r="GP233" s="64"/>
      <c r="GQ233" s="64"/>
      <c r="GR233" s="64"/>
      <c r="GS233" s="64"/>
      <c r="GT233" s="64"/>
      <c r="GU233" s="64"/>
      <c r="GV233" s="64"/>
      <c r="GW233" s="64"/>
      <c r="GX233" s="64"/>
      <c r="GY233" s="64"/>
      <c r="GZ233" s="64"/>
      <c r="HA233" s="64"/>
      <c r="HB233" s="64"/>
      <c r="HC233" s="64"/>
      <c r="HD233" s="64"/>
      <c r="HE233" s="64"/>
      <c r="HF233" s="64"/>
      <c r="HG233" s="64"/>
      <c r="HH233" s="64"/>
      <c r="HI233" s="64"/>
      <c r="HJ233" s="64"/>
      <c r="HK233" s="64"/>
      <c r="HL233" s="64"/>
      <c r="HM233" s="64"/>
      <c r="HN233" s="64"/>
      <c r="HO233" s="64"/>
      <c r="HP233" s="64"/>
      <c r="HQ233" s="64"/>
      <c r="HR233" s="64"/>
      <c r="HS233" s="64"/>
      <c r="HT233" s="64"/>
      <c r="HU233" s="64"/>
      <c r="HV233" s="64"/>
      <c r="HW233" s="64"/>
      <c r="HX233" s="64"/>
      <c r="HY233" s="64"/>
      <c r="HZ233" s="64"/>
      <c r="IA233" s="64"/>
      <c r="IB233" s="64"/>
      <c r="IC233" s="64"/>
      <c r="ID233" s="64"/>
      <c r="IE233" s="64"/>
      <c r="IF233" s="64"/>
      <c r="IG233" s="64"/>
      <c r="IH233" s="64"/>
      <c r="II233" s="64"/>
      <c r="IJ233" s="64"/>
      <c r="IK233" s="64"/>
      <c r="IL233" s="64"/>
      <c r="IM233" s="64"/>
      <c r="IN233" s="64"/>
      <c r="IO233" s="64"/>
      <c r="IP233" s="64"/>
      <c r="IQ233" s="64"/>
      <c r="IR233" s="64"/>
      <c r="IS233" s="64"/>
      <c r="IT233" s="64"/>
      <c r="IU233" s="64"/>
      <c r="IV233" s="64"/>
      <c r="IW233" s="64"/>
      <c r="IX233" s="64"/>
      <c r="IY233" s="64"/>
      <c r="IZ233" s="64"/>
      <c r="JA233" s="64"/>
      <c r="JB233" s="64"/>
      <c r="JC233" s="64"/>
      <c r="JD233" s="64"/>
      <c r="JE233" s="64"/>
      <c r="JF233" s="64"/>
      <c r="JG233" s="64"/>
      <c r="JH233" s="64"/>
      <c r="JI233" s="64"/>
    </row>
    <row r="234" spans="1:269" s="920" customFormat="1" x14ac:dyDescent="0.2">
      <c r="A234" s="116"/>
      <c r="B234" s="64"/>
      <c r="C234" s="64"/>
      <c r="D234" s="64"/>
      <c r="E234" s="64"/>
      <c r="F234" s="64"/>
      <c r="G234" s="64"/>
      <c r="H234" s="64"/>
      <c r="I234" s="64"/>
      <c r="J234" s="116"/>
      <c r="K234" s="116"/>
      <c r="L234" s="116"/>
      <c r="M234" s="116"/>
      <c r="N234" s="116"/>
      <c r="O234" s="116"/>
      <c r="P234" s="116"/>
      <c r="Q234" s="102"/>
      <c r="R234" s="102"/>
      <c r="S234" s="102"/>
      <c r="T234" s="102"/>
      <c r="U234" s="913"/>
      <c r="V234" s="114"/>
      <c r="W234" s="805"/>
      <c r="X234" s="805"/>
      <c r="Y234" s="805"/>
      <c r="Z234" s="914"/>
      <c r="AA234" s="102"/>
      <c r="AB234" s="102"/>
      <c r="AC234" s="102"/>
      <c r="AD234" s="102"/>
      <c r="AE234" s="102"/>
      <c r="AF234" s="102"/>
      <c r="AG234" s="102"/>
      <c r="AH234" s="102"/>
      <c r="AI234" s="102"/>
      <c r="AJ234" s="102"/>
      <c r="AK234" s="102"/>
      <c r="AL234" s="915"/>
      <c r="AM234" s="915"/>
      <c r="AN234" s="114"/>
      <c r="AO234" s="64"/>
      <c r="AP234" s="64"/>
      <c r="AQ234" s="64"/>
      <c r="AR234" s="916"/>
      <c r="AS234" s="916"/>
      <c r="AT234" s="916"/>
      <c r="AU234" s="917"/>
      <c r="AV234" s="917"/>
      <c r="AW234" s="917"/>
      <c r="AX234" s="918"/>
      <c r="AY234" s="916"/>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917"/>
      <c r="CA234" s="917"/>
      <c r="CB234" s="64"/>
      <c r="CC234" s="919"/>
      <c r="CD234" s="919"/>
      <c r="CE234" s="64"/>
      <c r="CF234" s="528"/>
      <c r="CG234" s="529"/>
      <c r="CH234" s="64"/>
      <c r="CI234" s="64"/>
      <c r="CJ234" s="64"/>
      <c r="CK234" s="64"/>
      <c r="CL234" s="64"/>
      <c r="CM234" s="64"/>
      <c r="CN234" s="64"/>
      <c r="CO234" s="64"/>
      <c r="CP234" s="64"/>
      <c r="CQ234" s="64"/>
      <c r="CR234" s="64"/>
      <c r="CS234" s="64"/>
      <c r="CT234" s="64"/>
      <c r="CU234" s="64"/>
      <c r="CV234" s="64"/>
      <c r="CW234" s="64"/>
      <c r="CX234" s="64"/>
      <c r="CY234" s="1011"/>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c r="FC234" s="64"/>
      <c r="FD234" s="64"/>
      <c r="FE234" s="64"/>
      <c r="FF234" s="64"/>
      <c r="FG234" s="64"/>
      <c r="FH234" s="64"/>
      <c r="FI234" s="64"/>
      <c r="FJ234" s="64"/>
      <c r="FK234" s="64"/>
      <c r="FL234" s="64"/>
      <c r="FM234" s="64"/>
      <c r="FN234" s="64"/>
      <c r="FO234" s="64"/>
      <c r="FP234" s="64"/>
      <c r="FQ234" s="64"/>
      <c r="FR234" s="64"/>
      <c r="FS234" s="64"/>
      <c r="FT234" s="64"/>
      <c r="FU234" s="64"/>
      <c r="FV234" s="64"/>
      <c r="FW234" s="64"/>
      <c r="FX234" s="64"/>
      <c r="FY234" s="64"/>
      <c r="FZ234" s="64"/>
      <c r="GA234" s="64"/>
      <c r="GB234" s="64"/>
      <c r="GC234" s="64"/>
      <c r="GD234" s="64"/>
      <c r="GE234" s="64"/>
      <c r="GF234" s="64"/>
      <c r="GG234" s="64"/>
      <c r="GH234" s="64"/>
      <c r="GI234" s="64"/>
      <c r="GJ234" s="64"/>
      <c r="GK234" s="64"/>
      <c r="GL234" s="64"/>
      <c r="GM234" s="64"/>
      <c r="GN234" s="64"/>
      <c r="GO234" s="64"/>
      <c r="GP234" s="64"/>
      <c r="GQ234" s="64"/>
      <c r="GR234" s="64"/>
      <c r="GS234" s="64"/>
      <c r="GT234" s="64"/>
      <c r="GU234" s="64"/>
      <c r="GV234" s="64"/>
      <c r="GW234" s="64"/>
      <c r="GX234" s="64"/>
      <c r="GY234" s="64"/>
      <c r="GZ234" s="64"/>
      <c r="HA234" s="64"/>
      <c r="HB234" s="64"/>
      <c r="HC234" s="64"/>
      <c r="HD234" s="64"/>
      <c r="HE234" s="64"/>
      <c r="HF234" s="64"/>
      <c r="HG234" s="64"/>
      <c r="HH234" s="64"/>
      <c r="HI234" s="64"/>
      <c r="HJ234" s="64"/>
      <c r="HK234" s="64"/>
      <c r="HL234" s="64"/>
      <c r="HM234" s="64"/>
      <c r="HN234" s="64"/>
      <c r="HO234" s="64"/>
      <c r="HP234" s="64"/>
      <c r="HQ234" s="64"/>
      <c r="HR234" s="64"/>
      <c r="HS234" s="64"/>
      <c r="HT234" s="64"/>
      <c r="HU234" s="64"/>
      <c r="HV234" s="64"/>
      <c r="HW234" s="64"/>
      <c r="HX234" s="64"/>
      <c r="HY234" s="64"/>
      <c r="HZ234" s="64"/>
      <c r="IA234" s="64"/>
      <c r="IB234" s="64"/>
      <c r="IC234" s="64"/>
      <c r="ID234" s="64"/>
      <c r="IE234" s="64"/>
      <c r="IF234" s="64"/>
      <c r="IG234" s="64"/>
      <c r="IH234" s="64"/>
      <c r="II234" s="64"/>
      <c r="IJ234" s="64"/>
      <c r="IK234" s="64"/>
      <c r="IL234" s="64"/>
      <c r="IM234" s="64"/>
      <c r="IN234" s="64"/>
      <c r="IO234" s="64"/>
      <c r="IP234" s="64"/>
      <c r="IQ234" s="64"/>
      <c r="IR234" s="64"/>
      <c r="IS234" s="64"/>
      <c r="IT234" s="64"/>
      <c r="IU234" s="64"/>
      <c r="IV234" s="64"/>
      <c r="IW234" s="64"/>
      <c r="IX234" s="64"/>
      <c r="IY234" s="64"/>
      <c r="IZ234" s="64"/>
      <c r="JA234" s="64"/>
      <c r="JB234" s="64"/>
      <c r="JC234" s="64"/>
      <c r="JD234" s="64"/>
      <c r="JE234" s="64"/>
      <c r="JF234" s="64"/>
      <c r="JG234" s="64"/>
      <c r="JH234" s="64"/>
      <c r="JI234" s="64"/>
    </row>
    <row r="235" spans="1:269" s="920" customFormat="1" x14ac:dyDescent="0.2">
      <c r="A235" s="116"/>
      <c r="B235" s="64"/>
      <c r="C235" s="64"/>
      <c r="D235" s="64"/>
      <c r="E235" s="64"/>
      <c r="F235" s="64"/>
      <c r="G235" s="64"/>
      <c r="H235" s="64"/>
      <c r="I235" s="64"/>
      <c r="J235" s="116"/>
      <c r="K235" s="116"/>
      <c r="L235" s="116"/>
      <c r="M235" s="116"/>
      <c r="N235" s="116"/>
      <c r="O235" s="116"/>
      <c r="P235" s="116"/>
      <c r="Q235" s="102"/>
      <c r="R235" s="102"/>
      <c r="S235" s="102"/>
      <c r="T235" s="102"/>
      <c r="U235" s="913"/>
      <c r="V235" s="114"/>
      <c r="W235" s="805"/>
      <c r="X235" s="805"/>
      <c r="Y235" s="805"/>
      <c r="Z235" s="914"/>
      <c r="AA235" s="102"/>
      <c r="AB235" s="102"/>
      <c r="AC235" s="102"/>
      <c r="AD235" s="102"/>
      <c r="AE235" s="102"/>
      <c r="AF235" s="102"/>
      <c r="AG235" s="102"/>
      <c r="AH235" s="102"/>
      <c r="AI235" s="102"/>
      <c r="AJ235" s="102"/>
      <c r="AK235" s="102"/>
      <c r="AL235" s="915"/>
      <c r="AM235" s="915"/>
      <c r="AN235" s="114"/>
      <c r="AO235" s="64"/>
      <c r="AP235" s="64"/>
      <c r="AQ235" s="64"/>
      <c r="AR235" s="916"/>
      <c r="AS235" s="916"/>
      <c r="AT235" s="916"/>
      <c r="AU235" s="917"/>
      <c r="AV235" s="917"/>
      <c r="AW235" s="917"/>
      <c r="AX235" s="918"/>
      <c r="AY235" s="916"/>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917"/>
      <c r="CA235" s="917"/>
      <c r="CB235" s="64"/>
      <c r="CC235" s="919"/>
      <c r="CD235" s="919"/>
      <c r="CE235" s="64"/>
      <c r="CF235" s="528"/>
      <c r="CG235" s="529"/>
      <c r="CH235" s="64"/>
      <c r="CI235" s="64"/>
      <c r="CJ235" s="64"/>
      <c r="CK235" s="64"/>
      <c r="CL235" s="64"/>
      <c r="CM235" s="64"/>
      <c r="CN235" s="64"/>
      <c r="CO235" s="64"/>
      <c r="CP235" s="64"/>
      <c r="CQ235" s="64"/>
      <c r="CR235" s="64"/>
      <c r="CS235" s="64"/>
      <c r="CT235" s="64"/>
      <c r="CU235" s="64"/>
      <c r="CV235" s="64"/>
      <c r="CW235" s="64"/>
      <c r="CX235" s="64"/>
      <c r="CY235" s="1011"/>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c r="FC235" s="64"/>
      <c r="FD235" s="64"/>
      <c r="FE235" s="64"/>
      <c r="FF235" s="64"/>
      <c r="FG235" s="64"/>
      <c r="FH235" s="64"/>
      <c r="FI235" s="64"/>
      <c r="FJ235" s="64"/>
      <c r="FK235" s="64"/>
      <c r="FL235" s="64"/>
      <c r="FM235" s="64"/>
      <c r="FN235" s="64"/>
      <c r="FO235" s="64"/>
      <c r="FP235" s="64"/>
      <c r="FQ235" s="64"/>
      <c r="FR235" s="64"/>
      <c r="FS235" s="64"/>
      <c r="FT235" s="64"/>
      <c r="FU235" s="64"/>
      <c r="FV235" s="64"/>
      <c r="FW235" s="64"/>
      <c r="FX235" s="64"/>
      <c r="FY235" s="64"/>
      <c r="FZ235" s="64"/>
      <c r="GA235" s="64"/>
      <c r="GB235" s="64"/>
      <c r="GC235" s="64"/>
      <c r="GD235" s="64"/>
      <c r="GE235" s="64"/>
      <c r="GF235" s="64"/>
      <c r="GG235" s="64"/>
      <c r="GH235" s="64"/>
      <c r="GI235" s="64"/>
      <c r="GJ235" s="64"/>
      <c r="GK235" s="64"/>
      <c r="GL235" s="64"/>
      <c r="GM235" s="64"/>
      <c r="GN235" s="64"/>
      <c r="GO235" s="64"/>
      <c r="GP235" s="64"/>
      <c r="GQ235" s="64"/>
      <c r="GR235" s="64"/>
      <c r="GS235" s="64"/>
      <c r="GT235" s="64"/>
      <c r="GU235" s="64"/>
      <c r="GV235" s="64"/>
      <c r="GW235" s="64"/>
      <c r="GX235" s="64"/>
      <c r="GY235" s="64"/>
      <c r="GZ235" s="64"/>
      <c r="HA235" s="64"/>
      <c r="HB235" s="64"/>
      <c r="HC235" s="64"/>
      <c r="HD235" s="64"/>
      <c r="HE235" s="64"/>
      <c r="HF235" s="64"/>
      <c r="HG235" s="64"/>
      <c r="HH235" s="64"/>
      <c r="HI235" s="64"/>
      <c r="HJ235" s="64"/>
      <c r="HK235" s="64"/>
      <c r="HL235" s="64"/>
      <c r="HM235" s="64"/>
      <c r="HN235" s="64"/>
      <c r="HO235" s="64"/>
      <c r="HP235" s="64"/>
      <c r="HQ235" s="64"/>
      <c r="HR235" s="64"/>
      <c r="HS235" s="64"/>
      <c r="HT235" s="64"/>
      <c r="HU235" s="64"/>
      <c r="HV235" s="64"/>
      <c r="HW235" s="64"/>
      <c r="HX235" s="64"/>
      <c r="HY235" s="64"/>
      <c r="HZ235" s="64"/>
      <c r="IA235" s="64"/>
      <c r="IB235" s="64"/>
      <c r="IC235" s="64"/>
      <c r="ID235" s="64"/>
      <c r="IE235" s="64"/>
      <c r="IF235" s="64"/>
      <c r="IG235" s="64"/>
      <c r="IH235" s="64"/>
      <c r="II235" s="64"/>
      <c r="IJ235" s="64"/>
      <c r="IK235" s="64"/>
      <c r="IL235" s="64"/>
      <c r="IM235" s="64"/>
      <c r="IN235" s="64"/>
      <c r="IO235" s="64"/>
      <c r="IP235" s="64"/>
      <c r="IQ235" s="64"/>
      <c r="IR235" s="64"/>
      <c r="IS235" s="64"/>
      <c r="IT235" s="64"/>
      <c r="IU235" s="64"/>
      <c r="IV235" s="64"/>
      <c r="IW235" s="64"/>
      <c r="IX235" s="64"/>
      <c r="IY235" s="64"/>
      <c r="IZ235" s="64"/>
      <c r="JA235" s="64"/>
      <c r="JB235" s="64"/>
      <c r="JC235" s="64"/>
      <c r="JD235" s="64"/>
      <c r="JE235" s="64"/>
      <c r="JF235" s="64"/>
      <c r="JG235" s="64"/>
      <c r="JH235" s="64"/>
      <c r="JI235" s="64"/>
    </row>
    <row r="236" spans="1:269" s="920" customFormat="1" x14ac:dyDescent="0.2">
      <c r="A236" s="116"/>
      <c r="B236" s="64"/>
      <c r="C236" s="64"/>
      <c r="D236" s="64"/>
      <c r="E236" s="64"/>
      <c r="F236" s="64"/>
      <c r="G236" s="64"/>
      <c r="H236" s="64"/>
      <c r="I236" s="64"/>
      <c r="J236" s="116"/>
      <c r="K236" s="116"/>
      <c r="L236" s="116"/>
      <c r="M236" s="116"/>
      <c r="N236" s="116"/>
      <c r="O236" s="116"/>
      <c r="P236" s="116"/>
      <c r="Q236" s="102"/>
      <c r="R236" s="102"/>
      <c r="S236" s="102"/>
      <c r="T236" s="102"/>
      <c r="U236" s="913"/>
      <c r="V236" s="114"/>
      <c r="W236" s="805"/>
      <c r="X236" s="805"/>
      <c r="Y236" s="805"/>
      <c r="Z236" s="914"/>
      <c r="AA236" s="102"/>
      <c r="AB236" s="102"/>
      <c r="AC236" s="102"/>
      <c r="AD236" s="102"/>
      <c r="AE236" s="102"/>
      <c r="AF236" s="102"/>
      <c r="AG236" s="102"/>
      <c r="AH236" s="102"/>
      <c r="AI236" s="102"/>
      <c r="AJ236" s="102"/>
      <c r="AK236" s="102"/>
      <c r="AL236" s="915"/>
      <c r="AM236" s="915"/>
      <c r="AN236" s="114"/>
      <c r="AO236" s="64"/>
      <c r="AP236" s="64"/>
      <c r="AQ236" s="64"/>
      <c r="AR236" s="916"/>
      <c r="AS236" s="916"/>
      <c r="AT236" s="916"/>
      <c r="AU236" s="917"/>
      <c r="AV236" s="917"/>
      <c r="AW236" s="917"/>
      <c r="AX236" s="918"/>
      <c r="AY236" s="916"/>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917"/>
      <c r="CA236" s="917"/>
      <c r="CB236" s="64"/>
      <c r="CC236" s="919"/>
      <c r="CD236" s="919"/>
      <c r="CE236" s="64"/>
      <c r="CF236" s="528"/>
      <c r="CG236" s="529"/>
      <c r="CH236" s="64"/>
      <c r="CI236" s="64"/>
      <c r="CJ236" s="64"/>
      <c r="CK236" s="64"/>
      <c r="CL236" s="64"/>
      <c r="CM236" s="64"/>
      <c r="CN236" s="64"/>
      <c r="CO236" s="64"/>
      <c r="CP236" s="64"/>
      <c r="CQ236" s="64"/>
      <c r="CR236" s="64"/>
      <c r="CS236" s="64"/>
      <c r="CT236" s="64"/>
      <c r="CU236" s="64"/>
      <c r="CV236" s="64"/>
      <c r="CW236" s="64"/>
      <c r="CX236" s="64"/>
      <c r="CY236" s="1011"/>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c r="FC236" s="64"/>
      <c r="FD236" s="64"/>
      <c r="FE236" s="64"/>
      <c r="FF236" s="64"/>
      <c r="FG236" s="64"/>
      <c r="FH236" s="64"/>
      <c r="FI236" s="64"/>
      <c r="FJ236" s="64"/>
      <c r="FK236" s="64"/>
      <c r="FL236" s="64"/>
      <c r="FM236" s="64"/>
      <c r="FN236" s="64"/>
      <c r="FO236" s="64"/>
      <c r="FP236" s="64"/>
      <c r="FQ236" s="64"/>
      <c r="FR236" s="64"/>
      <c r="FS236" s="64"/>
      <c r="FT236" s="64"/>
      <c r="FU236" s="64"/>
      <c r="FV236" s="64"/>
      <c r="FW236" s="64"/>
      <c r="FX236" s="64"/>
      <c r="FY236" s="64"/>
      <c r="FZ236" s="64"/>
      <c r="GA236" s="64"/>
      <c r="GB236" s="64"/>
      <c r="GC236" s="64"/>
      <c r="GD236" s="64"/>
      <c r="GE236" s="64"/>
      <c r="GF236" s="64"/>
      <c r="GG236" s="64"/>
      <c r="GH236" s="64"/>
      <c r="GI236" s="64"/>
      <c r="GJ236" s="64"/>
      <c r="GK236" s="64"/>
      <c r="GL236" s="64"/>
      <c r="GM236" s="64"/>
      <c r="GN236" s="64"/>
      <c r="GO236" s="64"/>
      <c r="GP236" s="64"/>
      <c r="GQ236" s="64"/>
      <c r="GR236" s="64"/>
      <c r="GS236" s="64"/>
      <c r="GT236" s="64"/>
      <c r="GU236" s="64"/>
      <c r="GV236" s="64"/>
      <c r="GW236" s="64"/>
      <c r="GX236" s="64"/>
      <c r="GY236" s="64"/>
      <c r="GZ236" s="64"/>
      <c r="HA236" s="64"/>
      <c r="HB236" s="64"/>
      <c r="HC236" s="64"/>
      <c r="HD236" s="64"/>
      <c r="HE236" s="64"/>
      <c r="HF236" s="64"/>
      <c r="HG236" s="64"/>
      <c r="HH236" s="64"/>
      <c r="HI236" s="64"/>
      <c r="HJ236" s="64"/>
      <c r="HK236" s="64"/>
      <c r="HL236" s="64"/>
      <c r="HM236" s="64"/>
      <c r="HN236" s="64"/>
      <c r="HO236" s="64"/>
      <c r="HP236" s="64"/>
      <c r="HQ236" s="64"/>
      <c r="HR236" s="64"/>
      <c r="HS236" s="64"/>
      <c r="HT236" s="64"/>
      <c r="HU236" s="64"/>
      <c r="HV236" s="64"/>
      <c r="HW236" s="64"/>
      <c r="HX236" s="64"/>
      <c r="HY236" s="64"/>
      <c r="HZ236" s="64"/>
      <c r="IA236" s="64"/>
      <c r="IB236" s="64"/>
      <c r="IC236" s="64"/>
      <c r="ID236" s="64"/>
      <c r="IE236" s="64"/>
      <c r="IF236" s="64"/>
      <c r="IG236" s="64"/>
      <c r="IH236" s="64"/>
      <c r="II236" s="64"/>
      <c r="IJ236" s="64"/>
      <c r="IK236" s="64"/>
      <c r="IL236" s="64"/>
      <c r="IM236" s="64"/>
      <c r="IN236" s="64"/>
      <c r="IO236" s="64"/>
      <c r="IP236" s="64"/>
      <c r="IQ236" s="64"/>
      <c r="IR236" s="64"/>
      <c r="IS236" s="64"/>
      <c r="IT236" s="64"/>
      <c r="IU236" s="64"/>
      <c r="IV236" s="64"/>
      <c r="IW236" s="64"/>
      <c r="IX236" s="64"/>
      <c r="IY236" s="64"/>
      <c r="IZ236" s="64"/>
      <c r="JA236" s="64"/>
      <c r="JB236" s="64"/>
      <c r="JC236" s="64"/>
      <c r="JD236" s="64"/>
      <c r="JE236" s="64"/>
      <c r="JF236" s="64"/>
      <c r="JG236" s="64"/>
      <c r="JH236" s="64"/>
      <c r="JI236" s="64"/>
    </row>
    <row r="237" spans="1:269" s="920" customFormat="1" x14ac:dyDescent="0.2">
      <c r="A237" s="116"/>
      <c r="B237" s="64"/>
      <c r="C237" s="64"/>
      <c r="D237" s="64"/>
      <c r="E237" s="64"/>
      <c r="F237" s="64"/>
      <c r="G237" s="64"/>
      <c r="H237" s="64"/>
      <c r="I237" s="64"/>
      <c r="J237" s="116"/>
      <c r="K237" s="116"/>
      <c r="L237" s="116"/>
      <c r="M237" s="116"/>
      <c r="N237" s="116"/>
      <c r="O237" s="116"/>
      <c r="P237" s="116"/>
      <c r="Q237" s="102"/>
      <c r="R237" s="102"/>
      <c r="S237" s="102"/>
      <c r="T237" s="102"/>
      <c r="U237" s="913"/>
      <c r="V237" s="114"/>
      <c r="W237" s="805"/>
      <c r="X237" s="805"/>
      <c r="Y237" s="805"/>
      <c r="Z237" s="914"/>
      <c r="AA237" s="102"/>
      <c r="AB237" s="102"/>
      <c r="AC237" s="102"/>
      <c r="AD237" s="102"/>
      <c r="AE237" s="102"/>
      <c r="AF237" s="102"/>
      <c r="AG237" s="102"/>
      <c r="AH237" s="102"/>
      <c r="AI237" s="102"/>
      <c r="AJ237" s="102"/>
      <c r="AK237" s="102"/>
      <c r="AL237" s="915"/>
      <c r="AM237" s="915"/>
      <c r="AN237" s="114"/>
      <c r="AO237" s="64"/>
      <c r="AP237" s="64"/>
      <c r="AQ237" s="64"/>
      <c r="AR237" s="916"/>
      <c r="AS237" s="916"/>
      <c r="AT237" s="916"/>
      <c r="AU237" s="917"/>
      <c r="AV237" s="917"/>
      <c r="AW237" s="917"/>
      <c r="AX237" s="918"/>
      <c r="AY237" s="916"/>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917"/>
      <c r="CA237" s="917"/>
      <c r="CB237" s="64"/>
      <c r="CC237" s="919"/>
      <c r="CD237" s="919"/>
      <c r="CE237" s="64"/>
      <c r="CF237" s="528"/>
      <c r="CG237" s="529"/>
      <c r="CH237" s="64"/>
      <c r="CI237" s="64"/>
      <c r="CJ237" s="64"/>
      <c r="CK237" s="64"/>
      <c r="CL237" s="64"/>
      <c r="CM237" s="64"/>
      <c r="CN237" s="64"/>
      <c r="CO237" s="64"/>
      <c r="CP237" s="64"/>
      <c r="CQ237" s="64"/>
      <c r="CR237" s="64"/>
      <c r="CS237" s="64"/>
      <c r="CT237" s="64"/>
      <c r="CU237" s="64"/>
      <c r="CV237" s="64"/>
      <c r="CW237" s="64"/>
      <c r="CX237" s="64"/>
      <c r="CY237" s="1011"/>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c r="FC237" s="64"/>
      <c r="FD237" s="64"/>
      <c r="FE237" s="64"/>
      <c r="FF237" s="64"/>
      <c r="FG237" s="64"/>
      <c r="FH237" s="64"/>
      <c r="FI237" s="64"/>
      <c r="FJ237" s="64"/>
      <c r="FK237" s="64"/>
      <c r="FL237" s="64"/>
      <c r="FM237" s="64"/>
      <c r="FN237" s="64"/>
      <c r="FO237" s="64"/>
      <c r="FP237" s="64"/>
      <c r="FQ237" s="64"/>
      <c r="FR237" s="64"/>
      <c r="FS237" s="64"/>
      <c r="FT237" s="64"/>
      <c r="FU237" s="64"/>
      <c r="FV237" s="64"/>
      <c r="FW237" s="64"/>
      <c r="FX237" s="64"/>
      <c r="FY237" s="64"/>
      <c r="FZ237" s="64"/>
      <c r="GA237" s="64"/>
      <c r="GB237" s="64"/>
      <c r="GC237" s="64"/>
      <c r="GD237" s="64"/>
      <c r="GE237" s="64"/>
      <c r="GF237" s="64"/>
      <c r="GG237" s="64"/>
      <c r="GH237" s="64"/>
      <c r="GI237" s="64"/>
      <c r="GJ237" s="64"/>
      <c r="GK237" s="64"/>
      <c r="GL237" s="64"/>
      <c r="GM237" s="64"/>
      <c r="GN237" s="64"/>
      <c r="GO237" s="64"/>
      <c r="GP237" s="64"/>
      <c r="GQ237" s="64"/>
      <c r="GR237" s="64"/>
      <c r="GS237" s="64"/>
      <c r="GT237" s="64"/>
      <c r="GU237" s="64"/>
      <c r="GV237" s="64"/>
      <c r="GW237" s="64"/>
      <c r="GX237" s="64"/>
      <c r="GY237" s="64"/>
      <c r="GZ237" s="64"/>
      <c r="HA237" s="64"/>
      <c r="HB237" s="64"/>
      <c r="HC237" s="64"/>
      <c r="HD237" s="64"/>
      <c r="HE237" s="64"/>
      <c r="HF237" s="64"/>
      <c r="HG237" s="64"/>
      <c r="HH237" s="64"/>
      <c r="HI237" s="64"/>
      <c r="HJ237" s="64"/>
      <c r="HK237" s="64"/>
      <c r="HL237" s="64"/>
      <c r="HM237" s="64"/>
      <c r="HN237" s="64"/>
      <c r="HO237" s="64"/>
      <c r="HP237" s="64"/>
      <c r="HQ237" s="64"/>
      <c r="HR237" s="64"/>
      <c r="HS237" s="64"/>
      <c r="HT237" s="64"/>
      <c r="HU237" s="64"/>
      <c r="HV237" s="64"/>
      <c r="HW237" s="64"/>
      <c r="HX237" s="64"/>
      <c r="HY237" s="64"/>
      <c r="HZ237" s="64"/>
      <c r="IA237" s="64"/>
      <c r="IB237" s="64"/>
      <c r="IC237" s="64"/>
      <c r="ID237" s="64"/>
      <c r="IE237" s="64"/>
      <c r="IF237" s="64"/>
      <c r="IG237" s="64"/>
      <c r="IH237" s="64"/>
      <c r="II237" s="64"/>
      <c r="IJ237" s="64"/>
      <c r="IK237" s="64"/>
      <c r="IL237" s="64"/>
      <c r="IM237" s="64"/>
      <c r="IN237" s="64"/>
      <c r="IO237" s="64"/>
      <c r="IP237" s="64"/>
      <c r="IQ237" s="64"/>
      <c r="IR237" s="64"/>
      <c r="IS237" s="64"/>
      <c r="IT237" s="64"/>
      <c r="IU237" s="64"/>
      <c r="IV237" s="64"/>
      <c r="IW237" s="64"/>
      <c r="IX237" s="64"/>
      <c r="IY237" s="64"/>
      <c r="IZ237" s="64"/>
      <c r="JA237" s="64"/>
      <c r="JB237" s="64"/>
      <c r="JC237" s="64"/>
      <c r="JD237" s="64"/>
      <c r="JE237" s="64"/>
      <c r="JF237" s="64"/>
      <c r="JG237" s="64"/>
      <c r="JH237" s="64"/>
      <c r="JI237" s="64"/>
    </row>
    <row r="238" spans="1:269" s="920" customFormat="1" x14ac:dyDescent="0.2">
      <c r="A238" s="116"/>
      <c r="B238" s="64"/>
      <c r="C238" s="64"/>
      <c r="D238" s="64"/>
      <c r="E238" s="64"/>
      <c r="F238" s="64"/>
      <c r="G238" s="64"/>
      <c r="H238" s="64"/>
      <c r="I238" s="64"/>
      <c r="J238" s="116"/>
      <c r="K238" s="116"/>
      <c r="L238" s="116"/>
      <c r="M238" s="116"/>
      <c r="N238" s="116"/>
      <c r="O238" s="116"/>
      <c r="P238" s="116"/>
      <c r="Q238" s="102"/>
      <c r="R238" s="102"/>
      <c r="S238" s="102"/>
      <c r="T238" s="102"/>
      <c r="U238" s="913"/>
      <c r="V238" s="114"/>
      <c r="W238" s="805"/>
      <c r="X238" s="805"/>
      <c r="Y238" s="805"/>
      <c r="Z238" s="914"/>
      <c r="AA238" s="102"/>
      <c r="AB238" s="102"/>
      <c r="AC238" s="102"/>
      <c r="AD238" s="102"/>
      <c r="AE238" s="102"/>
      <c r="AF238" s="102"/>
      <c r="AG238" s="102"/>
      <c r="AH238" s="102"/>
      <c r="AI238" s="102"/>
      <c r="AJ238" s="102"/>
      <c r="AK238" s="102"/>
      <c r="AL238" s="915"/>
      <c r="AM238" s="915"/>
      <c r="AN238" s="114"/>
      <c r="AO238" s="64"/>
      <c r="AP238" s="64"/>
      <c r="AQ238" s="64"/>
      <c r="AR238" s="916"/>
      <c r="AS238" s="916"/>
      <c r="AT238" s="916"/>
      <c r="AU238" s="917"/>
      <c r="AV238" s="917"/>
      <c r="AW238" s="917"/>
      <c r="AX238" s="918"/>
      <c r="AY238" s="916"/>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917"/>
      <c r="CA238" s="917"/>
      <c r="CB238" s="64"/>
      <c r="CC238" s="919"/>
      <c r="CD238" s="919"/>
      <c r="CE238" s="64"/>
      <c r="CF238" s="528"/>
      <c r="CG238" s="529"/>
      <c r="CH238" s="64"/>
      <c r="CI238" s="64"/>
      <c r="CJ238" s="64"/>
      <c r="CK238" s="64"/>
      <c r="CL238" s="64"/>
      <c r="CM238" s="64"/>
      <c r="CN238" s="64"/>
      <c r="CO238" s="64"/>
      <c r="CP238" s="64"/>
      <c r="CQ238" s="64"/>
      <c r="CR238" s="64"/>
      <c r="CS238" s="64"/>
      <c r="CT238" s="64"/>
      <c r="CU238" s="64"/>
      <c r="CV238" s="64"/>
      <c r="CW238" s="64"/>
      <c r="CX238" s="64"/>
      <c r="CY238" s="1011"/>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c r="FC238" s="64"/>
      <c r="FD238" s="64"/>
      <c r="FE238" s="64"/>
      <c r="FF238" s="64"/>
      <c r="FG238" s="64"/>
      <c r="FH238" s="64"/>
      <c r="FI238" s="64"/>
      <c r="FJ238" s="64"/>
      <c r="FK238" s="64"/>
      <c r="FL238" s="64"/>
      <c r="FM238" s="64"/>
      <c r="FN238" s="64"/>
      <c r="FO238" s="64"/>
      <c r="FP238" s="64"/>
      <c r="FQ238" s="64"/>
      <c r="FR238" s="64"/>
      <c r="FS238" s="64"/>
      <c r="FT238" s="64"/>
      <c r="FU238" s="64"/>
      <c r="FV238" s="64"/>
      <c r="FW238" s="64"/>
      <c r="FX238" s="64"/>
      <c r="FY238" s="64"/>
      <c r="FZ238" s="64"/>
      <c r="GA238" s="64"/>
      <c r="GB238" s="64"/>
      <c r="GC238" s="64"/>
      <c r="GD238" s="64"/>
      <c r="GE238" s="64"/>
      <c r="GF238" s="64"/>
      <c r="GG238" s="64"/>
      <c r="GH238" s="64"/>
      <c r="GI238" s="64"/>
      <c r="GJ238" s="64"/>
      <c r="GK238" s="64"/>
      <c r="GL238" s="64"/>
      <c r="GM238" s="64"/>
      <c r="GN238" s="64"/>
      <c r="GO238" s="64"/>
      <c r="GP238" s="64"/>
      <c r="GQ238" s="64"/>
      <c r="GR238" s="64"/>
      <c r="GS238" s="64"/>
      <c r="GT238" s="64"/>
      <c r="GU238" s="64"/>
      <c r="GV238" s="64"/>
      <c r="GW238" s="64"/>
      <c r="GX238" s="64"/>
      <c r="GY238" s="64"/>
      <c r="GZ238" s="64"/>
      <c r="HA238" s="64"/>
      <c r="HB238" s="64"/>
      <c r="HC238" s="64"/>
      <c r="HD238" s="64"/>
      <c r="HE238" s="64"/>
      <c r="HF238" s="64"/>
      <c r="HG238" s="64"/>
      <c r="HH238" s="64"/>
      <c r="HI238" s="64"/>
      <c r="HJ238" s="64"/>
      <c r="HK238" s="64"/>
      <c r="HL238" s="64"/>
      <c r="HM238" s="64"/>
      <c r="HN238" s="64"/>
      <c r="HO238" s="64"/>
      <c r="HP238" s="64"/>
      <c r="HQ238" s="64"/>
      <c r="HR238" s="64"/>
      <c r="HS238" s="64"/>
      <c r="HT238" s="64"/>
      <c r="HU238" s="64"/>
      <c r="HV238" s="64"/>
      <c r="HW238" s="64"/>
      <c r="HX238" s="64"/>
      <c r="HY238" s="64"/>
      <c r="HZ238" s="64"/>
      <c r="IA238" s="64"/>
      <c r="IB238" s="64"/>
      <c r="IC238" s="64"/>
      <c r="ID238" s="64"/>
      <c r="IE238" s="64"/>
      <c r="IF238" s="64"/>
      <c r="IG238" s="64"/>
      <c r="IH238" s="64"/>
      <c r="II238" s="64"/>
      <c r="IJ238" s="64"/>
      <c r="IK238" s="64"/>
      <c r="IL238" s="64"/>
      <c r="IM238" s="64"/>
      <c r="IN238" s="64"/>
      <c r="IO238" s="64"/>
      <c r="IP238" s="64"/>
      <c r="IQ238" s="64"/>
      <c r="IR238" s="64"/>
      <c r="IS238" s="64"/>
      <c r="IT238" s="64"/>
      <c r="IU238" s="64"/>
      <c r="IV238" s="64"/>
      <c r="IW238" s="64"/>
      <c r="IX238" s="64"/>
      <c r="IY238" s="64"/>
      <c r="IZ238" s="64"/>
      <c r="JA238" s="64"/>
      <c r="JB238" s="64"/>
      <c r="JC238" s="64"/>
      <c r="JD238" s="64"/>
      <c r="JE238" s="64"/>
      <c r="JF238" s="64"/>
      <c r="JG238" s="64"/>
      <c r="JH238" s="64"/>
      <c r="JI238" s="64"/>
    </row>
    <row r="239" spans="1:269" s="920" customFormat="1" x14ac:dyDescent="0.2">
      <c r="A239" s="116"/>
      <c r="B239" s="64"/>
      <c r="C239" s="64"/>
      <c r="D239" s="64"/>
      <c r="E239" s="64"/>
      <c r="F239" s="64"/>
      <c r="G239" s="64"/>
      <c r="H239" s="64"/>
      <c r="I239" s="64"/>
      <c r="J239" s="116"/>
      <c r="K239" s="116"/>
      <c r="L239" s="116"/>
      <c r="M239" s="116"/>
      <c r="N239" s="116"/>
      <c r="O239" s="116"/>
      <c r="P239" s="116"/>
      <c r="Q239" s="102"/>
      <c r="R239" s="102"/>
      <c r="S239" s="102"/>
      <c r="T239" s="102"/>
      <c r="U239" s="913"/>
      <c r="V239" s="114"/>
      <c r="W239" s="805"/>
      <c r="X239" s="805"/>
      <c r="Y239" s="805"/>
      <c r="Z239" s="914"/>
      <c r="AA239" s="102"/>
      <c r="AB239" s="102"/>
      <c r="AC239" s="102"/>
      <c r="AD239" s="102"/>
      <c r="AE239" s="102"/>
      <c r="AF239" s="102"/>
      <c r="AG239" s="102"/>
      <c r="AH239" s="102"/>
      <c r="AI239" s="102"/>
      <c r="AJ239" s="102"/>
      <c r="AK239" s="102"/>
      <c r="AL239" s="915"/>
      <c r="AM239" s="915"/>
      <c r="AN239" s="114"/>
      <c r="AO239" s="64"/>
      <c r="AP239" s="64"/>
      <c r="AQ239" s="64"/>
      <c r="AR239" s="916"/>
      <c r="AS239" s="916"/>
      <c r="AT239" s="916"/>
      <c r="AU239" s="917"/>
      <c r="AV239" s="917"/>
      <c r="AW239" s="917"/>
      <c r="AX239" s="918"/>
      <c r="AY239" s="916"/>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917"/>
      <c r="CA239" s="917"/>
      <c r="CB239" s="64"/>
      <c r="CC239" s="919"/>
      <c r="CD239" s="919"/>
      <c r="CE239" s="64"/>
      <c r="CF239" s="528"/>
      <c r="CG239" s="529"/>
      <c r="CH239" s="64"/>
      <c r="CI239" s="64"/>
      <c r="CJ239" s="64"/>
      <c r="CK239" s="64"/>
      <c r="CL239" s="64"/>
      <c r="CM239" s="64"/>
      <c r="CN239" s="64"/>
      <c r="CO239" s="64"/>
      <c r="CP239" s="64"/>
      <c r="CQ239" s="64"/>
      <c r="CR239" s="64"/>
      <c r="CS239" s="64"/>
      <c r="CT239" s="64"/>
      <c r="CU239" s="64"/>
      <c r="CV239" s="64"/>
      <c r="CW239" s="64"/>
      <c r="CX239" s="64"/>
      <c r="CY239" s="1011"/>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c r="FC239" s="64"/>
      <c r="FD239" s="64"/>
      <c r="FE239" s="64"/>
      <c r="FF239" s="64"/>
      <c r="FG239" s="64"/>
      <c r="FH239" s="64"/>
      <c r="FI239" s="64"/>
      <c r="FJ239" s="64"/>
      <c r="FK239" s="64"/>
      <c r="FL239" s="64"/>
      <c r="FM239" s="64"/>
      <c r="FN239" s="64"/>
      <c r="FO239" s="64"/>
      <c r="FP239" s="64"/>
      <c r="FQ239" s="64"/>
      <c r="FR239" s="64"/>
      <c r="FS239" s="64"/>
      <c r="FT239" s="64"/>
      <c r="FU239" s="64"/>
      <c r="FV239" s="64"/>
      <c r="FW239" s="64"/>
      <c r="FX239" s="64"/>
      <c r="FY239" s="64"/>
      <c r="FZ239" s="64"/>
      <c r="GA239" s="64"/>
      <c r="GB239" s="64"/>
      <c r="GC239" s="64"/>
      <c r="GD239" s="64"/>
      <c r="GE239" s="64"/>
      <c r="GF239" s="64"/>
      <c r="GG239" s="64"/>
      <c r="GH239" s="64"/>
      <c r="GI239" s="64"/>
      <c r="GJ239" s="64"/>
      <c r="GK239" s="64"/>
      <c r="GL239" s="64"/>
      <c r="GM239" s="64"/>
      <c r="GN239" s="64"/>
      <c r="GO239" s="64"/>
      <c r="GP239" s="64"/>
      <c r="GQ239" s="64"/>
      <c r="GR239" s="64"/>
      <c r="GS239" s="64"/>
      <c r="GT239" s="64"/>
      <c r="GU239" s="64"/>
      <c r="GV239" s="64"/>
      <c r="GW239" s="64"/>
      <c r="GX239" s="64"/>
      <c r="GY239" s="64"/>
      <c r="GZ239" s="64"/>
      <c r="HA239" s="64"/>
      <c r="HB239" s="64"/>
      <c r="HC239" s="64"/>
      <c r="HD239" s="64"/>
      <c r="HE239" s="64"/>
      <c r="HF239" s="64"/>
      <c r="HG239" s="64"/>
      <c r="HH239" s="64"/>
      <c r="HI239" s="64"/>
      <c r="HJ239" s="64"/>
      <c r="HK239" s="64"/>
      <c r="HL239" s="64"/>
      <c r="HM239" s="64"/>
      <c r="HN239" s="64"/>
      <c r="HO239" s="64"/>
      <c r="HP239" s="64"/>
      <c r="HQ239" s="64"/>
      <c r="HR239" s="64"/>
      <c r="HS239" s="64"/>
      <c r="HT239" s="64"/>
      <c r="HU239" s="64"/>
      <c r="HV239" s="64"/>
      <c r="HW239" s="64"/>
      <c r="HX239" s="64"/>
      <c r="HY239" s="64"/>
      <c r="HZ239" s="64"/>
      <c r="IA239" s="64"/>
      <c r="IB239" s="64"/>
      <c r="IC239" s="64"/>
      <c r="ID239" s="64"/>
      <c r="IE239" s="64"/>
      <c r="IF239" s="64"/>
      <c r="IG239" s="64"/>
      <c r="IH239" s="64"/>
      <c r="II239" s="64"/>
      <c r="IJ239" s="64"/>
      <c r="IK239" s="64"/>
      <c r="IL239" s="64"/>
      <c r="IM239" s="64"/>
      <c r="IN239" s="64"/>
      <c r="IO239" s="64"/>
      <c r="IP239" s="64"/>
      <c r="IQ239" s="64"/>
      <c r="IR239" s="64"/>
      <c r="IS239" s="64"/>
      <c r="IT239" s="64"/>
      <c r="IU239" s="64"/>
      <c r="IV239" s="64"/>
      <c r="IW239" s="64"/>
      <c r="IX239" s="64"/>
      <c r="IY239" s="64"/>
      <c r="IZ239" s="64"/>
      <c r="JA239" s="64"/>
      <c r="JB239" s="64"/>
      <c r="JC239" s="64"/>
      <c r="JD239" s="64"/>
      <c r="JE239" s="64"/>
      <c r="JF239" s="64"/>
      <c r="JG239" s="64"/>
      <c r="JH239" s="64"/>
      <c r="JI239" s="64"/>
    </row>
    <row r="240" spans="1:269" s="920" customFormat="1" x14ac:dyDescent="0.2">
      <c r="A240" s="116"/>
      <c r="B240" s="64"/>
      <c r="C240" s="64"/>
      <c r="D240" s="64"/>
      <c r="E240" s="64"/>
      <c r="F240" s="64"/>
      <c r="G240" s="64"/>
      <c r="H240" s="64"/>
      <c r="I240" s="64"/>
      <c r="J240" s="116"/>
      <c r="K240" s="116"/>
      <c r="L240" s="116"/>
      <c r="M240" s="116"/>
      <c r="N240" s="116"/>
      <c r="O240" s="116"/>
      <c r="P240" s="116"/>
      <c r="Q240" s="102"/>
      <c r="R240" s="102"/>
      <c r="S240" s="102"/>
      <c r="T240" s="102"/>
      <c r="U240" s="913"/>
      <c r="V240" s="114"/>
      <c r="W240" s="805"/>
      <c r="X240" s="805"/>
      <c r="Y240" s="805"/>
      <c r="Z240" s="914"/>
      <c r="AA240" s="102"/>
      <c r="AB240" s="102"/>
      <c r="AC240" s="102"/>
      <c r="AD240" s="102"/>
      <c r="AE240" s="102"/>
      <c r="AF240" s="102"/>
      <c r="AG240" s="102"/>
      <c r="AH240" s="102"/>
      <c r="AI240" s="102"/>
      <c r="AJ240" s="102"/>
      <c r="AK240" s="102"/>
      <c r="AL240" s="915"/>
      <c r="AM240" s="915"/>
      <c r="AN240" s="114"/>
      <c r="AO240" s="64"/>
      <c r="AP240" s="64"/>
      <c r="AQ240" s="64"/>
      <c r="AR240" s="916"/>
      <c r="AS240" s="916"/>
      <c r="AT240" s="916"/>
      <c r="AU240" s="917"/>
      <c r="AV240" s="917"/>
      <c r="AW240" s="917"/>
      <c r="AX240" s="918"/>
      <c r="AY240" s="916"/>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917"/>
      <c r="CA240" s="917"/>
      <c r="CB240" s="64"/>
      <c r="CC240" s="919"/>
      <c r="CD240" s="919"/>
      <c r="CE240" s="64"/>
      <c r="CF240" s="528"/>
      <c r="CG240" s="529"/>
      <c r="CH240" s="64"/>
      <c r="CI240" s="64"/>
      <c r="CJ240" s="64"/>
      <c r="CK240" s="64"/>
      <c r="CL240" s="64"/>
      <c r="CM240" s="64"/>
      <c r="CN240" s="64"/>
      <c r="CO240" s="64"/>
      <c r="CP240" s="64"/>
      <c r="CQ240" s="64"/>
      <c r="CR240" s="64"/>
      <c r="CS240" s="64"/>
      <c r="CT240" s="64"/>
      <c r="CU240" s="64"/>
      <c r="CV240" s="64"/>
      <c r="CW240" s="64"/>
      <c r="CX240" s="64"/>
      <c r="CY240" s="1011"/>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c r="FC240" s="64"/>
      <c r="FD240" s="64"/>
      <c r="FE240" s="64"/>
      <c r="FF240" s="64"/>
      <c r="FG240" s="64"/>
      <c r="FH240" s="64"/>
      <c r="FI240" s="64"/>
      <c r="FJ240" s="64"/>
      <c r="FK240" s="64"/>
      <c r="FL240" s="64"/>
      <c r="FM240" s="64"/>
      <c r="FN240" s="64"/>
      <c r="FO240" s="64"/>
      <c r="FP240" s="64"/>
      <c r="FQ240" s="64"/>
      <c r="FR240" s="64"/>
      <c r="FS240" s="64"/>
      <c r="FT240" s="64"/>
      <c r="FU240" s="64"/>
      <c r="FV240" s="64"/>
      <c r="FW240" s="64"/>
      <c r="FX240" s="64"/>
      <c r="FY240" s="64"/>
      <c r="FZ240" s="64"/>
      <c r="GA240" s="64"/>
      <c r="GB240" s="64"/>
      <c r="GC240" s="64"/>
      <c r="GD240" s="64"/>
      <c r="GE240" s="64"/>
      <c r="GF240" s="64"/>
      <c r="GG240" s="64"/>
      <c r="GH240" s="64"/>
      <c r="GI240" s="64"/>
      <c r="GJ240" s="64"/>
      <c r="GK240" s="64"/>
      <c r="GL240" s="64"/>
      <c r="GM240" s="64"/>
      <c r="GN240" s="64"/>
      <c r="GO240" s="64"/>
      <c r="GP240" s="64"/>
      <c r="GQ240" s="64"/>
      <c r="GR240" s="64"/>
      <c r="GS240" s="64"/>
      <c r="GT240" s="64"/>
      <c r="GU240" s="64"/>
      <c r="GV240" s="64"/>
      <c r="GW240" s="64"/>
      <c r="GX240" s="64"/>
      <c r="GY240" s="64"/>
      <c r="GZ240" s="64"/>
      <c r="HA240" s="64"/>
      <c r="HB240" s="64"/>
      <c r="HC240" s="64"/>
      <c r="HD240" s="64"/>
      <c r="HE240" s="64"/>
      <c r="HF240" s="64"/>
      <c r="HG240" s="64"/>
      <c r="HH240" s="64"/>
      <c r="HI240" s="64"/>
      <c r="HJ240" s="64"/>
      <c r="HK240" s="64"/>
      <c r="HL240" s="64"/>
      <c r="HM240" s="64"/>
      <c r="HN240" s="64"/>
      <c r="HO240" s="64"/>
      <c r="HP240" s="64"/>
      <c r="HQ240" s="64"/>
      <c r="HR240" s="64"/>
      <c r="HS240" s="64"/>
      <c r="HT240" s="64"/>
      <c r="HU240" s="64"/>
      <c r="HV240" s="64"/>
      <c r="HW240" s="64"/>
      <c r="HX240" s="64"/>
      <c r="HY240" s="64"/>
      <c r="HZ240" s="64"/>
      <c r="IA240" s="64"/>
      <c r="IB240" s="64"/>
      <c r="IC240" s="64"/>
      <c r="ID240" s="64"/>
      <c r="IE240" s="64"/>
      <c r="IF240" s="64"/>
      <c r="IG240" s="64"/>
      <c r="IH240" s="64"/>
      <c r="II240" s="64"/>
      <c r="IJ240" s="64"/>
      <c r="IK240" s="64"/>
      <c r="IL240" s="64"/>
      <c r="IM240" s="64"/>
      <c r="IN240" s="64"/>
      <c r="IO240" s="64"/>
      <c r="IP240" s="64"/>
      <c r="IQ240" s="64"/>
      <c r="IR240" s="64"/>
      <c r="IS240" s="64"/>
      <c r="IT240" s="64"/>
      <c r="IU240" s="64"/>
      <c r="IV240" s="64"/>
      <c r="IW240" s="64"/>
      <c r="IX240" s="64"/>
      <c r="IY240" s="64"/>
      <c r="IZ240" s="64"/>
      <c r="JA240" s="64"/>
      <c r="JB240" s="64"/>
      <c r="JC240" s="64"/>
      <c r="JD240" s="64"/>
      <c r="JE240" s="64"/>
      <c r="JF240" s="64"/>
      <c r="JG240" s="64"/>
      <c r="JH240" s="64"/>
      <c r="JI240" s="64"/>
    </row>
    <row r="241" spans="1:269" s="920" customFormat="1" x14ac:dyDescent="0.2">
      <c r="A241" s="116"/>
      <c r="B241" s="64"/>
      <c r="C241" s="64"/>
      <c r="D241" s="64"/>
      <c r="E241" s="64"/>
      <c r="F241" s="64"/>
      <c r="G241" s="64"/>
      <c r="H241" s="64"/>
      <c r="I241" s="64"/>
      <c r="J241" s="116"/>
      <c r="K241" s="116"/>
      <c r="L241" s="116"/>
      <c r="M241" s="116"/>
      <c r="N241" s="116"/>
      <c r="O241" s="116"/>
      <c r="P241" s="116"/>
      <c r="Q241" s="102"/>
      <c r="R241" s="102"/>
      <c r="S241" s="102"/>
      <c r="T241" s="102"/>
      <c r="U241" s="913"/>
      <c r="V241" s="114"/>
      <c r="W241" s="805"/>
      <c r="X241" s="805"/>
      <c r="Y241" s="805"/>
      <c r="Z241" s="914"/>
      <c r="AA241" s="102"/>
      <c r="AB241" s="102"/>
      <c r="AC241" s="102"/>
      <c r="AD241" s="102"/>
      <c r="AE241" s="102"/>
      <c r="AF241" s="102"/>
      <c r="AG241" s="102"/>
      <c r="AH241" s="102"/>
      <c r="AI241" s="102"/>
      <c r="AJ241" s="102"/>
      <c r="AK241" s="102"/>
      <c r="AL241" s="915"/>
      <c r="AM241" s="915"/>
      <c r="AN241" s="114"/>
      <c r="AO241" s="64"/>
      <c r="AP241" s="64"/>
      <c r="AQ241" s="64"/>
      <c r="AR241" s="916"/>
      <c r="AS241" s="916"/>
      <c r="AT241" s="916"/>
      <c r="AU241" s="917"/>
      <c r="AV241" s="917"/>
      <c r="AW241" s="917"/>
      <c r="AX241" s="918"/>
      <c r="AY241" s="916"/>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917"/>
      <c r="CA241" s="917"/>
      <c r="CB241" s="64"/>
      <c r="CC241" s="919"/>
      <c r="CD241" s="919"/>
      <c r="CE241" s="64"/>
      <c r="CF241" s="528"/>
      <c r="CG241" s="529"/>
      <c r="CH241" s="64"/>
      <c r="CI241" s="64"/>
      <c r="CJ241" s="64"/>
      <c r="CK241" s="64"/>
      <c r="CL241" s="64"/>
      <c r="CM241" s="64"/>
      <c r="CN241" s="64"/>
      <c r="CO241" s="64"/>
      <c r="CP241" s="64"/>
      <c r="CQ241" s="64"/>
      <c r="CR241" s="64"/>
      <c r="CS241" s="64"/>
      <c r="CT241" s="64"/>
      <c r="CU241" s="64"/>
      <c r="CV241" s="64"/>
      <c r="CW241" s="64"/>
      <c r="CX241" s="64"/>
      <c r="CY241" s="1011"/>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c r="FC241" s="64"/>
      <c r="FD241" s="64"/>
      <c r="FE241" s="64"/>
      <c r="FF241" s="64"/>
      <c r="FG241" s="64"/>
      <c r="FH241" s="64"/>
      <c r="FI241" s="64"/>
      <c r="FJ241" s="64"/>
      <c r="FK241" s="64"/>
      <c r="FL241" s="64"/>
      <c r="FM241" s="64"/>
      <c r="FN241" s="64"/>
      <c r="FO241" s="64"/>
      <c r="FP241" s="64"/>
      <c r="FQ241" s="64"/>
      <c r="FR241" s="64"/>
      <c r="FS241" s="64"/>
      <c r="FT241" s="64"/>
      <c r="FU241" s="64"/>
      <c r="FV241" s="64"/>
      <c r="FW241" s="64"/>
      <c r="FX241" s="64"/>
      <c r="FY241" s="64"/>
      <c r="FZ241" s="64"/>
      <c r="GA241" s="64"/>
      <c r="GB241" s="64"/>
      <c r="GC241" s="64"/>
      <c r="GD241" s="64"/>
      <c r="GE241" s="64"/>
      <c r="GF241" s="64"/>
      <c r="GG241" s="64"/>
      <c r="GH241" s="64"/>
      <c r="GI241" s="64"/>
      <c r="GJ241" s="64"/>
      <c r="GK241" s="64"/>
      <c r="GL241" s="64"/>
      <c r="GM241" s="64"/>
      <c r="GN241" s="64"/>
      <c r="GO241" s="64"/>
      <c r="GP241" s="64"/>
      <c r="GQ241" s="64"/>
      <c r="GR241" s="64"/>
      <c r="GS241" s="64"/>
      <c r="GT241" s="64"/>
      <c r="GU241" s="64"/>
      <c r="GV241" s="64"/>
      <c r="GW241" s="64"/>
      <c r="GX241" s="64"/>
      <c r="GY241" s="64"/>
      <c r="GZ241" s="64"/>
      <c r="HA241" s="64"/>
      <c r="HB241" s="64"/>
      <c r="HC241" s="64"/>
      <c r="HD241" s="64"/>
      <c r="HE241" s="64"/>
      <c r="HF241" s="64"/>
      <c r="HG241" s="64"/>
      <c r="HH241" s="64"/>
      <c r="HI241" s="64"/>
      <c r="HJ241" s="64"/>
      <c r="HK241" s="64"/>
      <c r="HL241" s="64"/>
      <c r="HM241" s="64"/>
      <c r="HN241" s="64"/>
      <c r="HO241" s="64"/>
      <c r="HP241" s="64"/>
      <c r="HQ241" s="64"/>
      <c r="HR241" s="64"/>
      <c r="HS241" s="64"/>
      <c r="HT241" s="64"/>
      <c r="HU241" s="64"/>
      <c r="HV241" s="64"/>
      <c r="HW241" s="64"/>
      <c r="HX241" s="64"/>
      <c r="HY241" s="64"/>
      <c r="HZ241" s="64"/>
      <c r="IA241" s="64"/>
      <c r="IB241" s="64"/>
      <c r="IC241" s="64"/>
      <c r="ID241" s="64"/>
      <c r="IE241" s="64"/>
      <c r="IF241" s="64"/>
      <c r="IG241" s="64"/>
      <c r="IH241" s="64"/>
      <c r="II241" s="64"/>
      <c r="IJ241" s="64"/>
      <c r="IK241" s="64"/>
      <c r="IL241" s="64"/>
      <c r="IM241" s="64"/>
      <c r="IN241" s="64"/>
      <c r="IO241" s="64"/>
      <c r="IP241" s="64"/>
      <c r="IQ241" s="64"/>
      <c r="IR241" s="64"/>
      <c r="IS241" s="64"/>
      <c r="IT241" s="64"/>
      <c r="IU241" s="64"/>
      <c r="IV241" s="64"/>
      <c r="IW241" s="64"/>
      <c r="IX241" s="64"/>
      <c r="IY241" s="64"/>
      <c r="IZ241" s="64"/>
      <c r="JA241" s="64"/>
      <c r="JB241" s="64"/>
      <c r="JC241" s="64"/>
      <c r="JD241" s="64"/>
      <c r="JE241" s="64"/>
      <c r="JF241" s="64"/>
      <c r="JG241" s="64"/>
      <c r="JH241" s="64"/>
      <c r="JI241" s="64"/>
    </row>
    <row r="242" spans="1:269" s="920" customFormat="1" x14ac:dyDescent="0.2">
      <c r="A242" s="116"/>
      <c r="B242" s="64"/>
      <c r="C242" s="64"/>
      <c r="D242" s="64"/>
      <c r="E242" s="64"/>
      <c r="F242" s="64"/>
      <c r="G242" s="64"/>
      <c r="H242" s="64"/>
      <c r="I242" s="64"/>
      <c r="J242" s="116"/>
      <c r="K242" s="116"/>
      <c r="L242" s="116"/>
      <c r="M242" s="116"/>
      <c r="N242" s="116"/>
      <c r="O242" s="116"/>
      <c r="P242" s="116"/>
      <c r="Q242" s="102"/>
      <c r="R242" s="102"/>
      <c r="S242" s="102"/>
      <c r="T242" s="102"/>
      <c r="U242" s="913"/>
      <c r="V242" s="114"/>
      <c r="W242" s="805"/>
      <c r="X242" s="805"/>
      <c r="Y242" s="805"/>
      <c r="Z242" s="914"/>
      <c r="AA242" s="102"/>
      <c r="AB242" s="102"/>
      <c r="AC242" s="102"/>
      <c r="AD242" s="102"/>
      <c r="AE242" s="102"/>
      <c r="AF242" s="102"/>
      <c r="AG242" s="102"/>
      <c r="AH242" s="102"/>
      <c r="AI242" s="102"/>
      <c r="AJ242" s="102"/>
      <c r="AK242" s="102"/>
      <c r="AL242" s="915"/>
      <c r="AM242" s="915"/>
      <c r="AN242" s="114"/>
      <c r="AO242" s="64"/>
      <c r="AP242" s="64"/>
      <c r="AQ242" s="64"/>
      <c r="AR242" s="916"/>
      <c r="AS242" s="916"/>
      <c r="AT242" s="916"/>
      <c r="AU242" s="917"/>
      <c r="AV242" s="917"/>
      <c r="AW242" s="917"/>
      <c r="AX242" s="918"/>
      <c r="AY242" s="916"/>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917"/>
      <c r="CA242" s="917"/>
      <c r="CB242" s="64"/>
      <c r="CC242" s="919"/>
      <c r="CD242" s="919"/>
      <c r="CE242" s="64"/>
      <c r="CF242" s="528"/>
      <c r="CG242" s="529"/>
      <c r="CH242" s="64"/>
      <c r="CI242" s="64"/>
      <c r="CJ242" s="64"/>
      <c r="CK242" s="64"/>
      <c r="CL242" s="64"/>
      <c r="CM242" s="64"/>
      <c r="CN242" s="64"/>
      <c r="CO242" s="64"/>
      <c r="CP242" s="64"/>
      <c r="CQ242" s="64"/>
      <c r="CR242" s="64"/>
      <c r="CS242" s="64"/>
      <c r="CT242" s="64"/>
      <c r="CU242" s="64"/>
      <c r="CV242" s="64"/>
      <c r="CW242" s="64"/>
      <c r="CX242" s="64"/>
      <c r="CY242" s="1011"/>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c r="FC242" s="64"/>
      <c r="FD242" s="64"/>
      <c r="FE242" s="64"/>
      <c r="FF242" s="64"/>
      <c r="FG242" s="64"/>
      <c r="FH242" s="64"/>
      <c r="FI242" s="64"/>
      <c r="FJ242" s="64"/>
      <c r="FK242" s="64"/>
      <c r="FL242" s="64"/>
      <c r="FM242" s="64"/>
      <c r="FN242" s="64"/>
      <c r="FO242" s="64"/>
      <c r="FP242" s="64"/>
      <c r="FQ242" s="64"/>
      <c r="FR242" s="64"/>
      <c r="FS242" s="64"/>
      <c r="FT242" s="64"/>
      <c r="FU242" s="64"/>
      <c r="FV242" s="64"/>
      <c r="FW242" s="64"/>
      <c r="FX242" s="64"/>
      <c r="FY242" s="64"/>
      <c r="FZ242" s="64"/>
      <c r="GA242" s="64"/>
      <c r="GB242" s="64"/>
      <c r="GC242" s="64"/>
      <c r="GD242" s="64"/>
      <c r="GE242" s="64"/>
      <c r="GF242" s="64"/>
      <c r="GG242" s="64"/>
      <c r="GH242" s="64"/>
      <c r="GI242" s="64"/>
      <c r="GJ242" s="64"/>
      <c r="GK242" s="64"/>
      <c r="GL242" s="64"/>
      <c r="GM242" s="64"/>
      <c r="GN242" s="64"/>
      <c r="GO242" s="64"/>
      <c r="GP242" s="64"/>
      <c r="GQ242" s="64"/>
      <c r="GR242" s="64"/>
      <c r="GS242" s="64"/>
      <c r="GT242" s="64"/>
      <c r="GU242" s="64"/>
      <c r="GV242" s="64"/>
      <c r="GW242" s="64"/>
      <c r="GX242" s="64"/>
      <c r="GY242" s="64"/>
      <c r="GZ242" s="64"/>
      <c r="HA242" s="64"/>
      <c r="HB242" s="64"/>
      <c r="HC242" s="64"/>
      <c r="HD242" s="64"/>
      <c r="HE242" s="64"/>
      <c r="HF242" s="64"/>
      <c r="HG242" s="64"/>
      <c r="HH242" s="64"/>
      <c r="HI242" s="64"/>
      <c r="HJ242" s="64"/>
      <c r="HK242" s="64"/>
      <c r="HL242" s="64"/>
      <c r="HM242" s="64"/>
      <c r="HN242" s="64"/>
      <c r="HO242" s="64"/>
      <c r="HP242" s="64"/>
      <c r="HQ242" s="64"/>
      <c r="HR242" s="64"/>
      <c r="HS242" s="64"/>
      <c r="HT242" s="64"/>
      <c r="HU242" s="64"/>
      <c r="HV242" s="64"/>
      <c r="HW242" s="64"/>
      <c r="HX242" s="64"/>
      <c r="HY242" s="64"/>
      <c r="HZ242" s="64"/>
      <c r="IA242" s="64"/>
      <c r="IB242" s="64"/>
      <c r="IC242" s="64"/>
      <c r="ID242" s="64"/>
      <c r="IE242" s="64"/>
      <c r="IF242" s="64"/>
      <c r="IG242" s="64"/>
      <c r="IH242" s="64"/>
      <c r="II242" s="64"/>
      <c r="IJ242" s="64"/>
      <c r="IK242" s="64"/>
      <c r="IL242" s="64"/>
      <c r="IM242" s="64"/>
      <c r="IN242" s="64"/>
      <c r="IO242" s="64"/>
      <c r="IP242" s="64"/>
      <c r="IQ242" s="64"/>
      <c r="IR242" s="64"/>
      <c r="IS242" s="64"/>
      <c r="IT242" s="64"/>
      <c r="IU242" s="64"/>
      <c r="IV242" s="64"/>
      <c r="IW242" s="64"/>
      <c r="IX242" s="64"/>
      <c r="IY242" s="64"/>
      <c r="IZ242" s="64"/>
      <c r="JA242" s="64"/>
      <c r="JB242" s="64"/>
      <c r="JC242" s="64"/>
      <c r="JD242" s="64"/>
      <c r="JE242" s="64"/>
      <c r="JF242" s="64"/>
      <c r="JG242" s="64"/>
      <c r="JH242" s="64"/>
      <c r="JI242" s="64"/>
    </row>
    <row r="243" spans="1:269" s="920" customFormat="1" x14ac:dyDescent="0.2">
      <c r="A243" s="116"/>
      <c r="B243" s="64"/>
      <c r="C243" s="64"/>
      <c r="D243" s="64"/>
      <c r="E243" s="64"/>
      <c r="F243" s="64"/>
      <c r="G243" s="64"/>
      <c r="H243" s="64"/>
      <c r="I243" s="64"/>
      <c r="J243" s="116"/>
      <c r="K243" s="116"/>
      <c r="L243" s="116"/>
      <c r="M243" s="116"/>
      <c r="N243" s="116"/>
      <c r="O243" s="116"/>
      <c r="P243" s="116"/>
      <c r="Q243" s="102"/>
      <c r="R243" s="102"/>
      <c r="S243" s="102"/>
      <c r="T243" s="102"/>
      <c r="U243" s="913"/>
      <c r="V243" s="114"/>
      <c r="W243" s="805"/>
      <c r="X243" s="805"/>
      <c r="Y243" s="805"/>
      <c r="Z243" s="914"/>
      <c r="AA243" s="102"/>
      <c r="AB243" s="102"/>
      <c r="AC243" s="102"/>
      <c r="AD243" s="102"/>
      <c r="AE243" s="102"/>
      <c r="AF243" s="102"/>
      <c r="AG243" s="102"/>
      <c r="AH243" s="102"/>
      <c r="AI243" s="102"/>
      <c r="AJ243" s="102"/>
      <c r="AK243" s="102"/>
      <c r="AL243" s="915"/>
      <c r="AM243" s="915"/>
      <c r="AN243" s="114"/>
      <c r="AO243" s="64"/>
      <c r="AP243" s="64"/>
      <c r="AQ243" s="64"/>
      <c r="AR243" s="916"/>
      <c r="AS243" s="916"/>
      <c r="AT243" s="916"/>
      <c r="AU243" s="917"/>
      <c r="AV243" s="917"/>
      <c r="AW243" s="917"/>
      <c r="AX243" s="918"/>
      <c r="AY243" s="916"/>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917"/>
      <c r="CA243" s="917"/>
      <c r="CB243" s="64"/>
      <c r="CC243" s="919"/>
      <c r="CD243" s="919"/>
      <c r="CE243" s="64"/>
      <c r="CF243" s="528"/>
      <c r="CG243" s="529"/>
      <c r="CH243" s="64"/>
      <c r="CI243" s="64"/>
      <c r="CJ243" s="64"/>
      <c r="CK243" s="64"/>
      <c r="CL243" s="64"/>
      <c r="CM243" s="64"/>
      <c r="CN243" s="64"/>
      <c r="CO243" s="64"/>
      <c r="CP243" s="64"/>
      <c r="CQ243" s="64"/>
      <c r="CR243" s="64"/>
      <c r="CS243" s="64"/>
      <c r="CT243" s="64"/>
      <c r="CU243" s="64"/>
      <c r="CV243" s="64"/>
      <c r="CW243" s="64"/>
      <c r="CX243" s="64"/>
      <c r="CY243" s="1011"/>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c r="FC243" s="64"/>
      <c r="FD243" s="64"/>
      <c r="FE243" s="64"/>
      <c r="FF243" s="64"/>
      <c r="FG243" s="64"/>
      <c r="FH243" s="64"/>
      <c r="FI243" s="64"/>
      <c r="FJ243" s="64"/>
      <c r="FK243" s="64"/>
      <c r="FL243" s="64"/>
      <c r="FM243" s="64"/>
      <c r="FN243" s="64"/>
      <c r="FO243" s="64"/>
      <c r="FP243" s="64"/>
      <c r="FQ243" s="64"/>
      <c r="FR243" s="64"/>
      <c r="FS243" s="64"/>
      <c r="FT243" s="64"/>
      <c r="FU243" s="64"/>
      <c r="FV243" s="64"/>
      <c r="FW243" s="64"/>
      <c r="FX243" s="64"/>
      <c r="FY243" s="64"/>
      <c r="FZ243" s="64"/>
      <c r="GA243" s="64"/>
      <c r="GB243" s="64"/>
      <c r="GC243" s="64"/>
      <c r="GD243" s="64"/>
      <c r="GE243" s="64"/>
      <c r="GF243" s="64"/>
      <c r="GG243" s="64"/>
      <c r="GH243" s="64"/>
      <c r="GI243" s="64"/>
      <c r="GJ243" s="64"/>
      <c r="GK243" s="64"/>
      <c r="GL243" s="64"/>
      <c r="GM243" s="64"/>
      <c r="GN243" s="64"/>
      <c r="GO243" s="64"/>
      <c r="GP243" s="64"/>
      <c r="GQ243" s="64"/>
      <c r="GR243" s="64"/>
      <c r="GS243" s="64"/>
      <c r="GT243" s="64"/>
      <c r="GU243" s="64"/>
      <c r="GV243" s="64"/>
      <c r="GW243" s="64"/>
      <c r="GX243" s="64"/>
      <c r="GY243" s="64"/>
      <c r="GZ243" s="64"/>
      <c r="HA243" s="64"/>
      <c r="HB243" s="64"/>
      <c r="HC243" s="64"/>
      <c r="HD243" s="64"/>
      <c r="HE243" s="64"/>
      <c r="HF243" s="64"/>
      <c r="HG243" s="64"/>
      <c r="HH243" s="64"/>
      <c r="HI243" s="64"/>
      <c r="HJ243" s="64"/>
      <c r="HK243" s="64"/>
      <c r="HL243" s="64"/>
      <c r="HM243" s="64"/>
      <c r="HN243" s="64"/>
      <c r="HO243" s="64"/>
      <c r="HP243" s="64"/>
      <c r="HQ243" s="64"/>
      <c r="HR243" s="64"/>
      <c r="HS243" s="64"/>
      <c r="HT243" s="64"/>
      <c r="HU243" s="64"/>
      <c r="HV243" s="64"/>
      <c r="HW243" s="64"/>
      <c r="HX243" s="64"/>
      <c r="HY243" s="64"/>
      <c r="HZ243" s="64"/>
      <c r="IA243" s="64"/>
      <c r="IB243" s="64"/>
      <c r="IC243" s="64"/>
      <c r="ID243" s="64"/>
      <c r="IE243" s="64"/>
      <c r="IF243" s="64"/>
      <c r="IG243" s="64"/>
      <c r="IH243" s="64"/>
      <c r="II243" s="64"/>
      <c r="IJ243" s="64"/>
      <c r="IK243" s="64"/>
      <c r="IL243" s="64"/>
      <c r="IM243" s="64"/>
      <c r="IN243" s="64"/>
      <c r="IO243" s="64"/>
      <c r="IP243" s="64"/>
      <c r="IQ243" s="64"/>
      <c r="IR243" s="64"/>
      <c r="IS243" s="64"/>
      <c r="IT243" s="64"/>
      <c r="IU243" s="64"/>
      <c r="IV243" s="64"/>
      <c r="IW243" s="64"/>
      <c r="IX243" s="64"/>
      <c r="IY243" s="64"/>
      <c r="IZ243" s="64"/>
      <c r="JA243" s="64"/>
      <c r="JB243" s="64"/>
      <c r="JC243" s="64"/>
      <c r="JD243" s="64"/>
      <c r="JE243" s="64"/>
      <c r="JF243" s="64"/>
      <c r="JG243" s="64"/>
      <c r="JH243" s="64"/>
      <c r="JI243" s="64"/>
    </row>
    <row r="244" spans="1:269" s="920" customFormat="1" x14ac:dyDescent="0.2">
      <c r="A244" s="116"/>
      <c r="B244" s="64"/>
      <c r="C244" s="64"/>
      <c r="D244" s="64"/>
      <c r="E244" s="64"/>
      <c r="F244" s="64"/>
      <c r="G244" s="64"/>
      <c r="H244" s="64"/>
      <c r="I244" s="64"/>
      <c r="J244" s="116"/>
      <c r="K244" s="116"/>
      <c r="L244" s="116"/>
      <c r="M244" s="116"/>
      <c r="N244" s="116"/>
      <c r="O244" s="116"/>
      <c r="P244" s="116"/>
      <c r="Q244" s="102"/>
      <c r="R244" s="102"/>
      <c r="S244" s="102"/>
      <c r="T244" s="102"/>
      <c r="U244" s="913"/>
      <c r="V244" s="114"/>
      <c r="W244" s="805"/>
      <c r="X244" s="805"/>
      <c r="Y244" s="805"/>
      <c r="Z244" s="914"/>
      <c r="AA244" s="102"/>
      <c r="AB244" s="102"/>
      <c r="AC244" s="102"/>
      <c r="AD244" s="102"/>
      <c r="AE244" s="102"/>
      <c r="AF244" s="102"/>
      <c r="AG244" s="102"/>
      <c r="AH244" s="102"/>
      <c r="AI244" s="102"/>
      <c r="AJ244" s="102"/>
      <c r="AK244" s="102"/>
      <c r="AL244" s="915"/>
      <c r="AM244" s="915"/>
      <c r="AN244" s="114"/>
      <c r="AO244" s="64"/>
      <c r="AP244" s="64"/>
      <c r="AQ244" s="64"/>
      <c r="AR244" s="916"/>
      <c r="AS244" s="916"/>
      <c r="AT244" s="916"/>
      <c r="AU244" s="917"/>
      <c r="AV244" s="917"/>
      <c r="AW244" s="917"/>
      <c r="AX244" s="918"/>
      <c r="AY244" s="916"/>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917"/>
      <c r="CA244" s="917"/>
      <c r="CB244" s="64"/>
      <c r="CC244" s="919"/>
      <c r="CD244" s="919"/>
      <c r="CE244" s="64"/>
      <c r="CF244" s="528"/>
      <c r="CG244" s="529"/>
      <c r="CH244" s="64"/>
      <c r="CI244" s="64"/>
      <c r="CJ244" s="64"/>
      <c r="CK244" s="64"/>
      <c r="CL244" s="64"/>
      <c r="CM244" s="64"/>
      <c r="CN244" s="64"/>
      <c r="CO244" s="64"/>
      <c r="CP244" s="64"/>
      <c r="CQ244" s="64"/>
      <c r="CR244" s="64"/>
      <c r="CS244" s="64"/>
      <c r="CT244" s="64"/>
      <c r="CU244" s="64"/>
      <c r="CV244" s="64"/>
      <c r="CW244" s="64"/>
      <c r="CX244" s="64"/>
      <c r="CY244" s="1011"/>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c r="FC244" s="64"/>
      <c r="FD244" s="64"/>
      <c r="FE244" s="64"/>
      <c r="FF244" s="64"/>
      <c r="FG244" s="64"/>
      <c r="FH244" s="64"/>
      <c r="FI244" s="64"/>
      <c r="FJ244" s="64"/>
      <c r="FK244" s="64"/>
      <c r="FL244" s="64"/>
      <c r="FM244" s="64"/>
      <c r="FN244" s="64"/>
      <c r="FO244" s="64"/>
      <c r="FP244" s="64"/>
      <c r="FQ244" s="64"/>
      <c r="FR244" s="64"/>
      <c r="FS244" s="64"/>
      <c r="FT244" s="64"/>
      <c r="FU244" s="64"/>
      <c r="FV244" s="64"/>
      <c r="FW244" s="64"/>
      <c r="FX244" s="64"/>
      <c r="FY244" s="64"/>
      <c r="FZ244" s="64"/>
      <c r="GA244" s="64"/>
      <c r="GB244" s="64"/>
      <c r="GC244" s="64"/>
      <c r="GD244" s="64"/>
      <c r="GE244" s="64"/>
      <c r="GF244" s="64"/>
      <c r="GG244" s="64"/>
      <c r="GH244" s="64"/>
      <c r="GI244" s="64"/>
      <c r="GJ244" s="64"/>
      <c r="GK244" s="64"/>
      <c r="GL244" s="64"/>
      <c r="GM244" s="64"/>
      <c r="GN244" s="64"/>
      <c r="GO244" s="64"/>
      <c r="GP244" s="64"/>
      <c r="GQ244" s="64"/>
      <c r="GR244" s="64"/>
      <c r="GS244" s="64"/>
      <c r="GT244" s="64"/>
      <c r="GU244" s="64"/>
      <c r="GV244" s="64"/>
      <c r="GW244" s="64"/>
      <c r="GX244" s="64"/>
      <c r="GY244" s="64"/>
      <c r="GZ244" s="64"/>
      <c r="HA244" s="64"/>
      <c r="HB244" s="64"/>
      <c r="HC244" s="64"/>
      <c r="HD244" s="64"/>
      <c r="HE244" s="64"/>
      <c r="HF244" s="64"/>
      <c r="HG244" s="64"/>
      <c r="HH244" s="64"/>
      <c r="HI244" s="64"/>
      <c r="HJ244" s="64"/>
      <c r="HK244" s="64"/>
      <c r="HL244" s="64"/>
      <c r="HM244" s="64"/>
      <c r="HN244" s="64"/>
      <c r="HO244" s="64"/>
      <c r="HP244" s="64"/>
      <c r="HQ244" s="64"/>
      <c r="HR244" s="64"/>
      <c r="HS244" s="64"/>
      <c r="HT244" s="64"/>
      <c r="HU244" s="64"/>
      <c r="HV244" s="64"/>
      <c r="HW244" s="64"/>
      <c r="HX244" s="64"/>
      <c r="HY244" s="64"/>
      <c r="HZ244" s="64"/>
      <c r="IA244" s="64"/>
      <c r="IB244" s="64"/>
      <c r="IC244" s="64"/>
      <c r="ID244" s="64"/>
      <c r="IE244" s="64"/>
      <c r="IF244" s="64"/>
      <c r="IG244" s="64"/>
      <c r="IH244" s="64"/>
      <c r="II244" s="64"/>
      <c r="IJ244" s="64"/>
      <c r="IK244" s="64"/>
      <c r="IL244" s="64"/>
      <c r="IM244" s="64"/>
      <c r="IN244" s="64"/>
      <c r="IO244" s="64"/>
      <c r="IP244" s="64"/>
      <c r="IQ244" s="64"/>
      <c r="IR244" s="64"/>
      <c r="IS244" s="64"/>
      <c r="IT244" s="64"/>
      <c r="IU244" s="64"/>
      <c r="IV244" s="64"/>
      <c r="IW244" s="64"/>
      <c r="IX244" s="64"/>
      <c r="IY244" s="64"/>
      <c r="IZ244" s="64"/>
      <c r="JA244" s="64"/>
      <c r="JB244" s="64"/>
      <c r="JC244" s="64"/>
      <c r="JD244" s="64"/>
      <c r="JE244" s="64"/>
      <c r="JF244" s="64"/>
      <c r="JG244" s="64"/>
      <c r="JH244" s="64"/>
      <c r="JI244" s="64"/>
    </row>
    <row r="245" spans="1:269" s="920" customFormat="1" x14ac:dyDescent="0.2">
      <c r="A245" s="116"/>
      <c r="B245" s="64"/>
      <c r="C245" s="64"/>
      <c r="D245" s="64"/>
      <c r="E245" s="64"/>
      <c r="F245" s="64"/>
      <c r="G245" s="64"/>
      <c r="H245" s="64"/>
      <c r="I245" s="64"/>
      <c r="J245" s="116"/>
      <c r="K245" s="116"/>
      <c r="L245" s="116"/>
      <c r="M245" s="116"/>
      <c r="N245" s="116"/>
      <c r="O245" s="116"/>
      <c r="P245" s="116"/>
      <c r="Q245" s="102"/>
      <c r="R245" s="102"/>
      <c r="S245" s="102"/>
      <c r="T245" s="102"/>
      <c r="U245" s="913"/>
      <c r="V245" s="114"/>
      <c r="W245" s="805"/>
      <c r="X245" s="805"/>
      <c r="Y245" s="805"/>
      <c r="Z245" s="914"/>
      <c r="AA245" s="102"/>
      <c r="AB245" s="102"/>
      <c r="AC245" s="102"/>
      <c r="AD245" s="102"/>
      <c r="AE245" s="102"/>
      <c r="AF245" s="102"/>
      <c r="AG245" s="102"/>
      <c r="AH245" s="102"/>
      <c r="AI245" s="102"/>
      <c r="AJ245" s="102"/>
      <c r="AK245" s="102"/>
      <c r="AL245" s="915"/>
      <c r="AM245" s="915"/>
      <c r="AN245" s="114"/>
      <c r="AO245" s="64"/>
      <c r="AP245" s="64"/>
      <c r="AQ245" s="64"/>
      <c r="AR245" s="916"/>
      <c r="AS245" s="916"/>
      <c r="AT245" s="916"/>
      <c r="AU245" s="917"/>
      <c r="AV245" s="917"/>
      <c r="AW245" s="917"/>
      <c r="AX245" s="918"/>
      <c r="AY245" s="916"/>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917"/>
      <c r="CA245" s="917"/>
      <c r="CB245" s="64"/>
      <c r="CC245" s="919"/>
      <c r="CD245" s="919"/>
      <c r="CE245" s="64"/>
      <c r="CF245" s="528"/>
      <c r="CG245" s="529"/>
      <c r="CH245" s="64"/>
      <c r="CI245" s="64"/>
      <c r="CJ245" s="64"/>
      <c r="CK245" s="64"/>
      <c r="CL245" s="64"/>
      <c r="CM245" s="64"/>
      <c r="CN245" s="64"/>
      <c r="CO245" s="64"/>
      <c r="CP245" s="64"/>
      <c r="CQ245" s="64"/>
      <c r="CR245" s="64"/>
      <c r="CS245" s="64"/>
      <c r="CT245" s="64"/>
      <c r="CU245" s="64"/>
      <c r="CV245" s="64"/>
      <c r="CW245" s="64"/>
      <c r="CX245" s="64"/>
      <c r="CY245" s="1011"/>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c r="FC245" s="64"/>
      <c r="FD245" s="64"/>
      <c r="FE245" s="64"/>
      <c r="FF245" s="64"/>
      <c r="FG245" s="64"/>
      <c r="FH245" s="64"/>
      <c r="FI245" s="64"/>
      <c r="FJ245" s="64"/>
      <c r="FK245" s="64"/>
      <c r="FL245" s="64"/>
      <c r="FM245" s="64"/>
      <c r="FN245" s="64"/>
      <c r="FO245" s="64"/>
      <c r="FP245" s="64"/>
      <c r="FQ245" s="64"/>
      <c r="FR245" s="64"/>
      <c r="FS245" s="64"/>
      <c r="FT245" s="64"/>
      <c r="FU245" s="64"/>
      <c r="FV245" s="64"/>
      <c r="FW245" s="64"/>
      <c r="FX245" s="64"/>
      <c r="FY245" s="64"/>
      <c r="FZ245" s="64"/>
      <c r="GA245" s="64"/>
      <c r="GB245" s="64"/>
      <c r="GC245" s="64"/>
      <c r="GD245" s="64"/>
      <c r="GE245" s="64"/>
      <c r="GF245" s="64"/>
      <c r="GG245" s="64"/>
      <c r="GH245" s="64"/>
      <c r="GI245" s="64"/>
      <c r="GJ245" s="64"/>
      <c r="GK245" s="64"/>
      <c r="GL245" s="64"/>
      <c r="GM245" s="64"/>
      <c r="GN245" s="64"/>
      <c r="GO245" s="64"/>
      <c r="GP245" s="64"/>
      <c r="GQ245" s="64"/>
      <c r="GR245" s="64"/>
      <c r="GS245" s="64"/>
      <c r="GT245" s="64"/>
      <c r="GU245" s="64"/>
      <c r="GV245" s="64"/>
      <c r="GW245" s="64"/>
      <c r="GX245" s="64"/>
      <c r="GY245" s="64"/>
      <c r="GZ245" s="64"/>
      <c r="HA245" s="64"/>
      <c r="HB245" s="64"/>
      <c r="HC245" s="64"/>
      <c r="HD245" s="64"/>
      <c r="HE245" s="64"/>
      <c r="HF245" s="64"/>
      <c r="HG245" s="64"/>
      <c r="HH245" s="64"/>
      <c r="HI245" s="64"/>
      <c r="HJ245" s="64"/>
      <c r="HK245" s="64"/>
      <c r="HL245" s="64"/>
      <c r="HM245" s="64"/>
      <c r="HN245" s="64"/>
      <c r="HO245" s="64"/>
      <c r="HP245" s="64"/>
      <c r="HQ245" s="64"/>
      <c r="HR245" s="64"/>
      <c r="HS245" s="64"/>
      <c r="HT245" s="64"/>
      <c r="HU245" s="64"/>
      <c r="HV245" s="64"/>
      <c r="HW245" s="64"/>
      <c r="HX245" s="64"/>
      <c r="HY245" s="64"/>
      <c r="HZ245" s="64"/>
      <c r="IA245" s="64"/>
      <c r="IB245" s="64"/>
      <c r="IC245" s="64"/>
      <c r="ID245" s="64"/>
      <c r="IE245" s="64"/>
      <c r="IF245" s="64"/>
      <c r="IG245" s="64"/>
      <c r="IH245" s="64"/>
      <c r="II245" s="64"/>
      <c r="IJ245" s="64"/>
      <c r="IK245" s="64"/>
      <c r="IL245" s="64"/>
      <c r="IM245" s="64"/>
      <c r="IN245" s="64"/>
      <c r="IO245" s="64"/>
      <c r="IP245" s="64"/>
      <c r="IQ245" s="64"/>
      <c r="IR245" s="64"/>
      <c r="IS245" s="64"/>
      <c r="IT245" s="64"/>
      <c r="IU245" s="64"/>
      <c r="IV245" s="64"/>
      <c r="IW245" s="64"/>
      <c r="IX245" s="64"/>
      <c r="IY245" s="64"/>
      <c r="IZ245" s="64"/>
      <c r="JA245" s="64"/>
      <c r="JB245" s="64"/>
      <c r="JC245" s="64"/>
      <c r="JD245" s="64"/>
      <c r="JE245" s="64"/>
      <c r="JF245" s="64"/>
      <c r="JG245" s="64"/>
      <c r="JH245" s="64"/>
      <c r="JI245" s="64"/>
    </row>
    <row r="246" spans="1:269" s="920" customFormat="1" x14ac:dyDescent="0.2">
      <c r="A246" s="116"/>
      <c r="B246" s="64"/>
      <c r="C246" s="64"/>
      <c r="D246" s="64"/>
      <c r="E246" s="64"/>
      <c r="F246" s="64"/>
      <c r="G246" s="64"/>
      <c r="H246" s="64"/>
      <c r="I246" s="64"/>
      <c r="J246" s="116"/>
      <c r="K246" s="116"/>
      <c r="L246" s="116"/>
      <c r="M246" s="116"/>
      <c r="N246" s="116"/>
      <c r="O246" s="116"/>
      <c r="P246" s="116"/>
      <c r="Q246" s="102"/>
      <c r="R246" s="102"/>
      <c r="S246" s="102"/>
      <c r="T246" s="102"/>
      <c r="U246" s="913"/>
      <c r="V246" s="114"/>
      <c r="W246" s="805"/>
      <c r="X246" s="805"/>
      <c r="Y246" s="805"/>
      <c r="Z246" s="914"/>
      <c r="AA246" s="102"/>
      <c r="AB246" s="102"/>
      <c r="AC246" s="102"/>
      <c r="AD246" s="102"/>
      <c r="AE246" s="102"/>
      <c r="AF246" s="102"/>
      <c r="AG246" s="102"/>
      <c r="AH246" s="102"/>
      <c r="AI246" s="102"/>
      <c r="AJ246" s="102"/>
      <c r="AK246" s="102"/>
      <c r="AL246" s="915"/>
      <c r="AM246" s="915"/>
      <c r="AN246" s="114"/>
      <c r="AO246" s="64"/>
      <c r="AP246" s="64"/>
      <c r="AQ246" s="64"/>
      <c r="AR246" s="916"/>
      <c r="AS246" s="916"/>
      <c r="AT246" s="916"/>
      <c r="AU246" s="917"/>
      <c r="AV246" s="917"/>
      <c r="AW246" s="917"/>
      <c r="AX246" s="918"/>
      <c r="AY246" s="916"/>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917"/>
      <c r="CA246" s="917"/>
      <c r="CB246" s="64"/>
      <c r="CC246" s="919"/>
      <c r="CD246" s="919"/>
      <c r="CE246" s="64"/>
      <c r="CF246" s="528"/>
      <c r="CG246" s="529"/>
      <c r="CH246" s="64"/>
      <c r="CI246" s="64"/>
      <c r="CJ246" s="64"/>
      <c r="CK246" s="64"/>
      <c r="CL246" s="64"/>
      <c r="CM246" s="64"/>
      <c r="CN246" s="64"/>
      <c r="CO246" s="64"/>
      <c r="CP246" s="64"/>
      <c r="CQ246" s="64"/>
      <c r="CR246" s="64"/>
      <c r="CS246" s="64"/>
      <c r="CT246" s="64"/>
      <c r="CU246" s="64"/>
      <c r="CV246" s="64"/>
      <c r="CW246" s="64"/>
      <c r="CX246" s="64"/>
      <c r="CY246" s="1011"/>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c r="FC246" s="64"/>
      <c r="FD246" s="64"/>
      <c r="FE246" s="64"/>
      <c r="FF246" s="64"/>
      <c r="FG246" s="64"/>
      <c r="FH246" s="64"/>
      <c r="FI246" s="64"/>
      <c r="FJ246" s="64"/>
      <c r="FK246" s="64"/>
      <c r="FL246" s="64"/>
      <c r="FM246" s="64"/>
      <c r="FN246" s="64"/>
      <c r="FO246" s="64"/>
      <c r="FP246" s="64"/>
      <c r="FQ246" s="64"/>
      <c r="FR246" s="64"/>
      <c r="FS246" s="64"/>
      <c r="FT246" s="64"/>
      <c r="FU246" s="64"/>
      <c r="FV246" s="64"/>
      <c r="FW246" s="64"/>
      <c r="FX246" s="64"/>
      <c r="FY246" s="64"/>
      <c r="FZ246" s="64"/>
      <c r="GA246" s="64"/>
      <c r="GB246" s="64"/>
      <c r="GC246" s="64"/>
      <c r="GD246" s="64"/>
      <c r="GE246" s="64"/>
      <c r="GF246" s="64"/>
      <c r="GG246" s="64"/>
      <c r="GH246" s="64"/>
      <c r="GI246" s="64"/>
      <c r="GJ246" s="64"/>
      <c r="GK246" s="64"/>
      <c r="GL246" s="64"/>
      <c r="GM246" s="64"/>
      <c r="GN246" s="64"/>
      <c r="GO246" s="64"/>
      <c r="GP246" s="64"/>
      <c r="GQ246" s="64"/>
      <c r="GR246" s="64"/>
      <c r="GS246" s="64"/>
      <c r="GT246" s="64"/>
      <c r="GU246" s="64"/>
      <c r="GV246" s="64"/>
      <c r="GW246" s="64"/>
      <c r="GX246" s="64"/>
      <c r="GY246" s="64"/>
      <c r="GZ246" s="64"/>
      <c r="HA246" s="64"/>
      <c r="HB246" s="64"/>
      <c r="HC246" s="64"/>
      <c r="HD246" s="64"/>
      <c r="HE246" s="64"/>
      <c r="HF246" s="64"/>
      <c r="HG246" s="64"/>
      <c r="HH246" s="64"/>
      <c r="HI246" s="64"/>
      <c r="HJ246" s="64"/>
      <c r="HK246" s="64"/>
      <c r="HL246" s="64"/>
      <c r="HM246" s="64"/>
      <c r="HN246" s="64"/>
      <c r="HO246" s="64"/>
      <c r="HP246" s="64"/>
      <c r="HQ246" s="64"/>
      <c r="HR246" s="64"/>
      <c r="HS246" s="64"/>
      <c r="HT246" s="64"/>
      <c r="HU246" s="64"/>
      <c r="HV246" s="64"/>
      <c r="HW246" s="64"/>
      <c r="HX246" s="64"/>
      <c r="HY246" s="64"/>
      <c r="HZ246" s="64"/>
      <c r="IA246" s="64"/>
      <c r="IB246" s="64"/>
      <c r="IC246" s="64"/>
      <c r="ID246" s="64"/>
      <c r="IE246" s="64"/>
      <c r="IF246" s="64"/>
      <c r="IG246" s="64"/>
      <c r="IH246" s="64"/>
      <c r="II246" s="64"/>
      <c r="IJ246" s="64"/>
      <c r="IK246" s="64"/>
      <c r="IL246" s="64"/>
      <c r="IM246" s="64"/>
      <c r="IN246" s="64"/>
      <c r="IO246" s="64"/>
      <c r="IP246" s="64"/>
      <c r="IQ246" s="64"/>
      <c r="IR246" s="64"/>
      <c r="IS246" s="64"/>
      <c r="IT246" s="64"/>
      <c r="IU246" s="64"/>
      <c r="IV246" s="64"/>
      <c r="IW246" s="64"/>
      <c r="IX246" s="64"/>
      <c r="IY246" s="64"/>
      <c r="IZ246" s="64"/>
      <c r="JA246" s="64"/>
      <c r="JB246" s="64"/>
      <c r="JC246" s="64"/>
      <c r="JD246" s="64"/>
      <c r="JE246" s="64"/>
      <c r="JF246" s="64"/>
      <c r="JG246" s="64"/>
      <c r="JH246" s="64"/>
      <c r="JI246" s="64"/>
    </row>
    <row r="247" spans="1:269" s="920" customFormat="1" x14ac:dyDescent="0.2">
      <c r="A247" s="116"/>
      <c r="B247" s="64"/>
      <c r="C247" s="64"/>
      <c r="D247" s="64"/>
      <c r="E247" s="64"/>
      <c r="F247" s="64"/>
      <c r="G247" s="64"/>
      <c r="H247" s="64"/>
      <c r="I247" s="64"/>
      <c r="J247" s="116"/>
      <c r="K247" s="116"/>
      <c r="L247" s="116"/>
      <c r="M247" s="116"/>
      <c r="N247" s="116"/>
      <c r="O247" s="116"/>
      <c r="P247" s="116"/>
      <c r="Q247" s="102"/>
      <c r="R247" s="102"/>
      <c r="S247" s="102"/>
      <c r="T247" s="102"/>
      <c r="U247" s="913"/>
      <c r="V247" s="114"/>
      <c r="W247" s="805"/>
      <c r="X247" s="805"/>
      <c r="Y247" s="805"/>
      <c r="Z247" s="914"/>
      <c r="AA247" s="102"/>
      <c r="AB247" s="102"/>
      <c r="AC247" s="102"/>
      <c r="AD247" s="102"/>
      <c r="AE247" s="102"/>
      <c r="AF247" s="102"/>
      <c r="AG247" s="102"/>
      <c r="AH247" s="102"/>
      <c r="AI247" s="102"/>
      <c r="AJ247" s="102"/>
      <c r="AK247" s="102"/>
      <c r="AL247" s="915"/>
      <c r="AM247" s="915"/>
      <c r="AN247" s="114"/>
      <c r="AO247" s="64"/>
      <c r="AP247" s="64"/>
      <c r="AQ247" s="64"/>
      <c r="AR247" s="916"/>
      <c r="AS247" s="916"/>
      <c r="AT247" s="916"/>
      <c r="AU247" s="917"/>
      <c r="AV247" s="917"/>
      <c r="AW247" s="917"/>
      <c r="AX247" s="918"/>
      <c r="AY247" s="916"/>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917"/>
      <c r="CA247" s="917"/>
      <c r="CB247" s="64"/>
      <c r="CC247" s="919"/>
      <c r="CD247" s="919"/>
      <c r="CE247" s="64"/>
      <c r="CF247" s="528"/>
      <c r="CG247" s="529"/>
      <c r="CH247" s="64"/>
      <c r="CI247" s="64"/>
      <c r="CJ247" s="64"/>
      <c r="CK247" s="64"/>
      <c r="CL247" s="64"/>
      <c r="CM247" s="64"/>
      <c r="CN247" s="64"/>
      <c r="CO247" s="64"/>
      <c r="CP247" s="64"/>
      <c r="CQ247" s="64"/>
      <c r="CR247" s="64"/>
      <c r="CS247" s="64"/>
      <c r="CT247" s="64"/>
      <c r="CU247" s="64"/>
      <c r="CV247" s="64"/>
      <c r="CW247" s="64"/>
      <c r="CX247" s="64"/>
      <c r="CY247" s="1011"/>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c r="FC247" s="64"/>
      <c r="FD247" s="64"/>
      <c r="FE247" s="64"/>
      <c r="FF247" s="64"/>
      <c r="FG247" s="64"/>
      <c r="FH247" s="64"/>
      <c r="FI247" s="64"/>
      <c r="FJ247" s="64"/>
      <c r="FK247" s="64"/>
      <c r="FL247" s="64"/>
      <c r="FM247" s="64"/>
      <c r="FN247" s="64"/>
      <c r="FO247" s="64"/>
      <c r="FP247" s="64"/>
      <c r="FQ247" s="64"/>
      <c r="FR247" s="64"/>
      <c r="FS247" s="64"/>
      <c r="FT247" s="64"/>
      <c r="FU247" s="64"/>
      <c r="FV247" s="64"/>
      <c r="FW247" s="64"/>
      <c r="FX247" s="64"/>
      <c r="FY247" s="64"/>
      <c r="FZ247" s="64"/>
      <c r="GA247" s="64"/>
      <c r="GB247" s="64"/>
      <c r="GC247" s="64"/>
      <c r="GD247" s="64"/>
      <c r="GE247" s="64"/>
      <c r="GF247" s="64"/>
      <c r="GG247" s="64"/>
      <c r="GH247" s="64"/>
      <c r="GI247" s="64"/>
      <c r="GJ247" s="64"/>
      <c r="GK247" s="64"/>
      <c r="GL247" s="64"/>
      <c r="GM247" s="64"/>
      <c r="GN247" s="64"/>
      <c r="GO247" s="64"/>
      <c r="GP247" s="64"/>
      <c r="GQ247" s="64"/>
      <c r="GR247" s="64"/>
      <c r="GS247" s="64"/>
      <c r="GT247" s="64"/>
      <c r="GU247" s="64"/>
      <c r="GV247" s="64"/>
      <c r="GW247" s="64"/>
      <c r="GX247" s="64"/>
      <c r="GY247" s="64"/>
      <c r="GZ247" s="64"/>
      <c r="HA247" s="64"/>
      <c r="HB247" s="64"/>
      <c r="HC247" s="64"/>
      <c r="HD247" s="64"/>
      <c r="HE247" s="64"/>
      <c r="HF247" s="64"/>
      <c r="HG247" s="64"/>
      <c r="HH247" s="64"/>
      <c r="HI247" s="64"/>
      <c r="HJ247" s="64"/>
      <c r="HK247" s="64"/>
      <c r="HL247" s="64"/>
      <c r="HM247" s="64"/>
      <c r="HN247" s="64"/>
      <c r="HO247" s="64"/>
      <c r="HP247" s="64"/>
      <c r="HQ247" s="64"/>
      <c r="HR247" s="64"/>
      <c r="HS247" s="64"/>
      <c r="HT247" s="64"/>
      <c r="HU247" s="64"/>
      <c r="HV247" s="64"/>
      <c r="HW247" s="64"/>
      <c r="HX247" s="64"/>
      <c r="HY247" s="64"/>
      <c r="HZ247" s="64"/>
      <c r="IA247" s="64"/>
      <c r="IB247" s="64"/>
      <c r="IC247" s="64"/>
      <c r="ID247" s="64"/>
      <c r="IE247" s="64"/>
      <c r="IF247" s="64"/>
      <c r="IG247" s="64"/>
      <c r="IH247" s="64"/>
      <c r="II247" s="64"/>
      <c r="IJ247" s="64"/>
      <c r="IK247" s="64"/>
      <c r="IL247" s="64"/>
      <c r="IM247" s="64"/>
      <c r="IN247" s="64"/>
      <c r="IO247" s="64"/>
      <c r="IP247" s="64"/>
      <c r="IQ247" s="64"/>
      <c r="IR247" s="64"/>
      <c r="IS247" s="64"/>
      <c r="IT247" s="64"/>
      <c r="IU247" s="64"/>
      <c r="IV247" s="64"/>
      <c r="IW247" s="64"/>
      <c r="IX247" s="64"/>
      <c r="IY247" s="64"/>
      <c r="IZ247" s="64"/>
      <c r="JA247" s="64"/>
      <c r="JB247" s="64"/>
      <c r="JC247" s="64"/>
      <c r="JD247" s="64"/>
      <c r="JE247" s="64"/>
      <c r="JF247" s="64"/>
      <c r="JG247" s="64"/>
      <c r="JH247" s="64"/>
      <c r="JI247" s="64"/>
    </row>
    <row r="248" spans="1:269" s="920" customFormat="1" x14ac:dyDescent="0.2">
      <c r="A248" s="116"/>
      <c r="B248" s="64"/>
      <c r="C248" s="64"/>
      <c r="D248" s="64"/>
      <c r="E248" s="64"/>
      <c r="F248" s="64"/>
      <c r="G248" s="64"/>
      <c r="H248" s="64"/>
      <c r="I248" s="64"/>
      <c r="J248" s="116"/>
      <c r="K248" s="116"/>
      <c r="L248" s="116"/>
      <c r="M248" s="116"/>
      <c r="N248" s="116"/>
      <c r="O248" s="116"/>
      <c r="P248" s="116"/>
      <c r="Q248" s="102"/>
      <c r="R248" s="102"/>
      <c r="S248" s="102"/>
      <c r="T248" s="102"/>
      <c r="U248" s="913"/>
      <c r="V248" s="114"/>
      <c r="W248" s="805"/>
      <c r="X248" s="805"/>
      <c r="Y248" s="805"/>
      <c r="Z248" s="914"/>
      <c r="AA248" s="102"/>
      <c r="AB248" s="102"/>
      <c r="AC248" s="102"/>
      <c r="AD248" s="102"/>
      <c r="AE248" s="102"/>
      <c r="AF248" s="102"/>
      <c r="AG248" s="102"/>
      <c r="AH248" s="102"/>
      <c r="AI248" s="102"/>
      <c r="AJ248" s="102"/>
      <c r="AK248" s="102"/>
      <c r="AL248" s="915"/>
      <c r="AM248" s="915"/>
      <c r="AN248" s="114"/>
      <c r="AO248" s="64"/>
      <c r="AP248" s="64"/>
      <c r="AQ248" s="64"/>
      <c r="AR248" s="916"/>
      <c r="AS248" s="916"/>
      <c r="AT248" s="916"/>
      <c r="AU248" s="917"/>
      <c r="AV248" s="917"/>
      <c r="AW248" s="917"/>
      <c r="AX248" s="918"/>
      <c r="AY248" s="916"/>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917"/>
      <c r="CA248" s="917"/>
      <c r="CB248" s="64"/>
      <c r="CC248" s="919"/>
      <c r="CD248" s="919"/>
      <c r="CE248" s="64"/>
      <c r="CF248" s="528"/>
      <c r="CG248" s="529"/>
      <c r="CH248" s="64"/>
      <c r="CI248" s="64"/>
      <c r="CJ248" s="64"/>
      <c r="CK248" s="64"/>
      <c r="CL248" s="64"/>
      <c r="CM248" s="64"/>
      <c r="CN248" s="64"/>
      <c r="CO248" s="64"/>
      <c r="CP248" s="64"/>
      <c r="CQ248" s="64"/>
      <c r="CR248" s="64"/>
      <c r="CS248" s="64"/>
      <c r="CT248" s="64"/>
      <c r="CU248" s="64"/>
      <c r="CV248" s="64"/>
      <c r="CW248" s="64"/>
      <c r="CX248" s="64"/>
      <c r="CY248" s="1011"/>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c r="FC248" s="64"/>
      <c r="FD248" s="64"/>
      <c r="FE248" s="64"/>
      <c r="FF248" s="64"/>
      <c r="FG248" s="64"/>
      <c r="FH248" s="64"/>
      <c r="FI248" s="64"/>
      <c r="FJ248" s="64"/>
      <c r="FK248" s="64"/>
      <c r="FL248" s="64"/>
      <c r="FM248" s="64"/>
      <c r="FN248" s="64"/>
      <c r="FO248" s="64"/>
      <c r="FP248" s="64"/>
      <c r="FQ248" s="64"/>
      <c r="FR248" s="64"/>
      <c r="FS248" s="64"/>
      <c r="FT248" s="64"/>
      <c r="FU248" s="64"/>
      <c r="FV248" s="64"/>
      <c r="FW248" s="64"/>
      <c r="FX248" s="64"/>
      <c r="FY248" s="64"/>
      <c r="FZ248" s="64"/>
      <c r="GA248" s="64"/>
      <c r="GB248" s="64"/>
      <c r="GC248" s="64"/>
      <c r="GD248" s="64"/>
      <c r="GE248" s="64"/>
      <c r="GF248" s="64"/>
      <c r="GG248" s="64"/>
      <c r="GH248" s="64"/>
      <c r="GI248" s="64"/>
      <c r="GJ248" s="64"/>
      <c r="GK248" s="64"/>
      <c r="GL248" s="64"/>
      <c r="GM248" s="64"/>
      <c r="GN248" s="64"/>
      <c r="GO248" s="64"/>
      <c r="GP248" s="64"/>
      <c r="GQ248" s="64"/>
      <c r="GR248" s="64"/>
      <c r="GS248" s="64"/>
      <c r="GT248" s="64"/>
      <c r="GU248" s="64"/>
      <c r="GV248" s="64"/>
      <c r="GW248" s="64"/>
      <c r="GX248" s="64"/>
      <c r="GY248" s="64"/>
      <c r="GZ248" s="64"/>
      <c r="HA248" s="64"/>
      <c r="HB248" s="64"/>
      <c r="HC248" s="64"/>
      <c r="HD248" s="64"/>
      <c r="HE248" s="64"/>
      <c r="HF248" s="64"/>
      <c r="HG248" s="64"/>
      <c r="HH248" s="64"/>
      <c r="HI248" s="64"/>
      <c r="HJ248" s="64"/>
      <c r="HK248" s="64"/>
      <c r="HL248" s="64"/>
      <c r="HM248" s="64"/>
      <c r="HN248" s="64"/>
      <c r="HO248" s="64"/>
      <c r="HP248" s="64"/>
      <c r="HQ248" s="64"/>
      <c r="HR248" s="64"/>
      <c r="HS248" s="64"/>
      <c r="HT248" s="64"/>
      <c r="HU248" s="64"/>
      <c r="HV248" s="64"/>
      <c r="HW248" s="64"/>
      <c r="HX248" s="64"/>
      <c r="HY248" s="64"/>
      <c r="HZ248" s="64"/>
      <c r="IA248" s="64"/>
      <c r="IB248" s="64"/>
      <c r="IC248" s="64"/>
      <c r="ID248" s="64"/>
      <c r="IE248" s="64"/>
      <c r="IF248" s="64"/>
      <c r="IG248" s="64"/>
      <c r="IH248" s="64"/>
      <c r="II248" s="64"/>
      <c r="IJ248" s="64"/>
      <c r="IK248" s="64"/>
      <c r="IL248" s="64"/>
      <c r="IM248" s="64"/>
      <c r="IN248" s="64"/>
      <c r="IO248" s="64"/>
      <c r="IP248" s="64"/>
      <c r="IQ248" s="64"/>
      <c r="IR248" s="64"/>
      <c r="IS248" s="64"/>
      <c r="IT248" s="64"/>
      <c r="IU248" s="64"/>
      <c r="IV248" s="64"/>
      <c r="IW248" s="64"/>
      <c r="IX248" s="64"/>
      <c r="IY248" s="64"/>
      <c r="IZ248" s="64"/>
      <c r="JA248" s="64"/>
      <c r="JB248" s="64"/>
      <c r="JC248" s="64"/>
      <c r="JD248" s="64"/>
      <c r="JE248" s="64"/>
      <c r="JF248" s="64"/>
      <c r="JG248" s="64"/>
      <c r="JH248" s="64"/>
      <c r="JI248" s="64"/>
    </row>
    <row r="249" spans="1:269" s="920" customFormat="1" x14ac:dyDescent="0.2">
      <c r="A249" s="116"/>
      <c r="B249" s="64"/>
      <c r="C249" s="64"/>
      <c r="D249" s="64"/>
      <c r="E249" s="64"/>
      <c r="F249" s="64"/>
      <c r="G249" s="64"/>
      <c r="H249" s="64"/>
      <c r="I249" s="64"/>
      <c r="J249" s="116"/>
      <c r="K249" s="116"/>
      <c r="L249" s="116"/>
      <c r="M249" s="116"/>
      <c r="N249" s="116"/>
      <c r="O249" s="116"/>
      <c r="P249" s="116"/>
      <c r="Q249" s="102"/>
      <c r="R249" s="102"/>
      <c r="S249" s="102"/>
      <c r="T249" s="102"/>
      <c r="U249" s="913"/>
      <c r="V249" s="114"/>
      <c r="W249" s="805"/>
      <c r="X249" s="805"/>
      <c r="Y249" s="805"/>
      <c r="Z249" s="914"/>
      <c r="AA249" s="102"/>
      <c r="AB249" s="102"/>
      <c r="AC249" s="102"/>
      <c r="AD249" s="102"/>
      <c r="AE249" s="102"/>
      <c r="AF249" s="102"/>
      <c r="AG249" s="102"/>
      <c r="AH249" s="102"/>
      <c r="AI249" s="102"/>
      <c r="AJ249" s="102"/>
      <c r="AK249" s="102"/>
      <c r="AL249" s="915"/>
      <c r="AM249" s="915"/>
      <c r="AN249" s="114"/>
      <c r="AO249" s="64"/>
      <c r="AP249" s="64"/>
      <c r="AQ249" s="64"/>
      <c r="AR249" s="916"/>
      <c r="AS249" s="916"/>
      <c r="AT249" s="916"/>
      <c r="AU249" s="917"/>
      <c r="AV249" s="917"/>
      <c r="AW249" s="917"/>
      <c r="AX249" s="918"/>
      <c r="AY249" s="916"/>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917"/>
      <c r="CA249" s="917"/>
      <c r="CB249" s="64"/>
      <c r="CC249" s="919"/>
      <c r="CD249" s="919"/>
      <c r="CE249" s="64"/>
      <c r="CF249" s="528"/>
      <c r="CG249" s="529"/>
      <c r="CH249" s="64"/>
      <c r="CI249" s="64"/>
      <c r="CJ249" s="64"/>
      <c r="CK249" s="64"/>
      <c r="CL249" s="64"/>
      <c r="CM249" s="64"/>
      <c r="CN249" s="64"/>
      <c r="CO249" s="64"/>
      <c r="CP249" s="64"/>
      <c r="CQ249" s="64"/>
      <c r="CR249" s="64"/>
      <c r="CS249" s="64"/>
      <c r="CT249" s="64"/>
      <c r="CU249" s="64"/>
      <c r="CV249" s="64"/>
      <c r="CW249" s="64"/>
      <c r="CX249" s="64"/>
      <c r="CY249" s="1011"/>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c r="FC249" s="64"/>
      <c r="FD249" s="64"/>
      <c r="FE249" s="64"/>
      <c r="FF249" s="64"/>
      <c r="FG249" s="64"/>
      <c r="FH249" s="64"/>
      <c r="FI249" s="64"/>
      <c r="FJ249" s="64"/>
      <c r="FK249" s="64"/>
      <c r="FL249" s="64"/>
      <c r="FM249" s="64"/>
      <c r="FN249" s="64"/>
      <c r="FO249" s="64"/>
      <c r="FP249" s="64"/>
      <c r="FQ249" s="64"/>
      <c r="FR249" s="64"/>
      <c r="FS249" s="64"/>
      <c r="FT249" s="64"/>
      <c r="FU249" s="64"/>
      <c r="FV249" s="64"/>
      <c r="FW249" s="64"/>
      <c r="FX249" s="64"/>
      <c r="FY249" s="64"/>
      <c r="FZ249" s="64"/>
      <c r="GA249" s="64"/>
      <c r="GB249" s="64"/>
      <c r="GC249" s="64"/>
      <c r="GD249" s="64"/>
      <c r="GE249" s="64"/>
      <c r="GF249" s="64"/>
      <c r="GG249" s="64"/>
      <c r="GH249" s="64"/>
      <c r="GI249" s="64"/>
      <c r="GJ249" s="64"/>
      <c r="GK249" s="64"/>
      <c r="GL249" s="64"/>
      <c r="GM249" s="64"/>
      <c r="GN249" s="64"/>
      <c r="GO249" s="64"/>
      <c r="GP249" s="64"/>
      <c r="GQ249" s="64"/>
      <c r="GR249" s="64"/>
      <c r="GS249" s="64"/>
      <c r="GT249" s="64"/>
      <c r="GU249" s="64"/>
      <c r="GV249" s="64"/>
      <c r="GW249" s="64"/>
      <c r="GX249" s="64"/>
      <c r="GY249" s="64"/>
      <c r="GZ249" s="64"/>
      <c r="HA249" s="64"/>
      <c r="HB249" s="64"/>
      <c r="HC249" s="64"/>
      <c r="HD249" s="64"/>
      <c r="HE249" s="64"/>
      <c r="HF249" s="64"/>
      <c r="HG249" s="64"/>
      <c r="HH249" s="64"/>
      <c r="HI249" s="64"/>
      <c r="HJ249" s="64"/>
      <c r="HK249" s="64"/>
      <c r="HL249" s="64"/>
      <c r="HM249" s="64"/>
      <c r="HN249" s="64"/>
      <c r="HO249" s="64"/>
      <c r="HP249" s="64"/>
      <c r="HQ249" s="64"/>
      <c r="HR249" s="64"/>
      <c r="HS249" s="64"/>
      <c r="HT249" s="64"/>
      <c r="HU249" s="64"/>
      <c r="HV249" s="64"/>
      <c r="HW249" s="64"/>
      <c r="HX249" s="64"/>
      <c r="HY249" s="64"/>
      <c r="HZ249" s="64"/>
      <c r="IA249" s="64"/>
      <c r="IB249" s="64"/>
      <c r="IC249" s="64"/>
      <c r="ID249" s="64"/>
      <c r="IE249" s="64"/>
      <c r="IF249" s="64"/>
      <c r="IG249" s="64"/>
      <c r="IH249" s="64"/>
      <c r="II249" s="64"/>
      <c r="IJ249" s="64"/>
      <c r="IK249" s="64"/>
      <c r="IL249" s="64"/>
      <c r="IM249" s="64"/>
      <c r="IN249" s="64"/>
      <c r="IO249" s="64"/>
      <c r="IP249" s="64"/>
      <c r="IQ249" s="64"/>
      <c r="IR249" s="64"/>
      <c r="IS249" s="64"/>
      <c r="IT249" s="64"/>
      <c r="IU249" s="64"/>
      <c r="IV249" s="64"/>
      <c r="IW249" s="64"/>
      <c r="IX249" s="64"/>
      <c r="IY249" s="64"/>
      <c r="IZ249" s="64"/>
      <c r="JA249" s="64"/>
      <c r="JB249" s="64"/>
      <c r="JC249" s="64"/>
      <c r="JD249" s="64"/>
      <c r="JE249" s="64"/>
      <c r="JF249" s="64"/>
      <c r="JG249" s="64"/>
      <c r="JH249" s="64"/>
      <c r="JI249" s="64"/>
    </row>
    <row r="250" spans="1:269" s="920" customFormat="1" x14ac:dyDescent="0.2">
      <c r="A250" s="116"/>
      <c r="B250" s="64"/>
      <c r="C250" s="64"/>
      <c r="D250" s="64"/>
      <c r="E250" s="64"/>
      <c r="F250" s="64"/>
      <c r="G250" s="64"/>
      <c r="H250" s="64"/>
      <c r="I250" s="64"/>
      <c r="J250" s="116"/>
      <c r="K250" s="116"/>
      <c r="L250" s="116"/>
      <c r="M250" s="116"/>
      <c r="N250" s="116"/>
      <c r="O250" s="116"/>
      <c r="P250" s="116"/>
      <c r="Q250" s="102"/>
      <c r="R250" s="102"/>
      <c r="S250" s="102"/>
      <c r="T250" s="102"/>
      <c r="U250" s="913"/>
      <c r="V250" s="114"/>
      <c r="W250" s="805"/>
      <c r="X250" s="805"/>
      <c r="Y250" s="805"/>
      <c r="Z250" s="914"/>
      <c r="AA250" s="102"/>
      <c r="AB250" s="102"/>
      <c r="AC250" s="102"/>
      <c r="AD250" s="102"/>
      <c r="AE250" s="102"/>
      <c r="AF250" s="102"/>
      <c r="AG250" s="102"/>
      <c r="AH250" s="102"/>
      <c r="AI250" s="102"/>
      <c r="AJ250" s="102"/>
      <c r="AK250" s="102"/>
      <c r="AL250" s="915"/>
      <c r="AM250" s="915"/>
      <c r="AN250" s="114"/>
      <c r="AO250" s="64"/>
      <c r="AP250" s="64"/>
      <c r="AQ250" s="64"/>
      <c r="AR250" s="916"/>
      <c r="AS250" s="916"/>
      <c r="AT250" s="916"/>
      <c r="AU250" s="917"/>
      <c r="AV250" s="917"/>
      <c r="AW250" s="917"/>
      <c r="AX250" s="918"/>
      <c r="AY250" s="916"/>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917"/>
      <c r="CA250" s="917"/>
      <c r="CB250" s="64"/>
      <c r="CC250" s="919"/>
      <c r="CD250" s="919"/>
      <c r="CE250" s="64"/>
      <c r="CF250" s="528"/>
      <c r="CG250" s="529"/>
      <c r="CH250" s="64"/>
      <c r="CI250" s="64"/>
      <c r="CJ250" s="64"/>
      <c r="CK250" s="64"/>
      <c r="CL250" s="64"/>
      <c r="CM250" s="64"/>
      <c r="CN250" s="64"/>
      <c r="CO250" s="64"/>
      <c r="CP250" s="64"/>
      <c r="CQ250" s="64"/>
      <c r="CR250" s="64"/>
      <c r="CS250" s="64"/>
      <c r="CT250" s="64"/>
      <c r="CU250" s="64"/>
      <c r="CV250" s="64"/>
      <c r="CW250" s="64"/>
      <c r="CX250" s="64"/>
      <c r="CY250" s="1011"/>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c r="FC250" s="64"/>
      <c r="FD250" s="64"/>
      <c r="FE250" s="64"/>
      <c r="FF250" s="64"/>
      <c r="FG250" s="64"/>
      <c r="FH250" s="64"/>
      <c r="FI250" s="64"/>
      <c r="FJ250" s="64"/>
      <c r="FK250" s="64"/>
      <c r="FL250" s="64"/>
      <c r="FM250" s="64"/>
      <c r="FN250" s="64"/>
      <c r="FO250" s="64"/>
      <c r="FP250" s="64"/>
      <c r="FQ250" s="64"/>
      <c r="FR250" s="64"/>
      <c r="FS250" s="64"/>
      <c r="FT250" s="64"/>
      <c r="FU250" s="64"/>
      <c r="FV250" s="64"/>
      <c r="FW250" s="64"/>
      <c r="FX250" s="64"/>
      <c r="FY250" s="64"/>
      <c r="FZ250" s="64"/>
      <c r="GA250" s="64"/>
      <c r="GB250" s="64"/>
      <c r="GC250" s="64"/>
      <c r="GD250" s="64"/>
      <c r="GE250" s="64"/>
      <c r="GF250" s="64"/>
      <c r="GG250" s="64"/>
      <c r="GH250" s="64"/>
      <c r="GI250" s="64"/>
      <c r="GJ250" s="64"/>
      <c r="GK250" s="64"/>
      <c r="GL250" s="64"/>
      <c r="GM250" s="64"/>
      <c r="GN250" s="64"/>
      <c r="GO250" s="64"/>
      <c r="GP250" s="64"/>
      <c r="GQ250" s="64"/>
      <c r="GR250" s="64"/>
      <c r="GS250" s="64"/>
      <c r="GT250" s="64"/>
      <c r="GU250" s="64"/>
      <c r="GV250" s="64"/>
      <c r="GW250" s="64"/>
      <c r="GX250" s="64"/>
      <c r="GY250" s="64"/>
      <c r="GZ250" s="64"/>
      <c r="HA250" s="64"/>
      <c r="HB250" s="64"/>
      <c r="HC250" s="64"/>
      <c r="HD250" s="64"/>
      <c r="HE250" s="64"/>
      <c r="HF250" s="64"/>
      <c r="HG250" s="64"/>
      <c r="HH250" s="64"/>
      <c r="HI250" s="64"/>
      <c r="HJ250" s="64"/>
      <c r="HK250" s="64"/>
      <c r="HL250" s="64"/>
      <c r="HM250" s="64"/>
      <c r="HN250" s="64"/>
      <c r="HO250" s="64"/>
      <c r="HP250" s="64"/>
      <c r="HQ250" s="64"/>
      <c r="HR250" s="64"/>
      <c r="HS250" s="64"/>
      <c r="HT250" s="64"/>
      <c r="HU250" s="64"/>
      <c r="HV250" s="64"/>
      <c r="HW250" s="64"/>
      <c r="HX250" s="64"/>
      <c r="HY250" s="64"/>
      <c r="HZ250" s="64"/>
      <c r="IA250" s="64"/>
      <c r="IB250" s="64"/>
      <c r="IC250" s="64"/>
      <c r="ID250" s="64"/>
      <c r="IE250" s="64"/>
      <c r="IF250" s="64"/>
      <c r="IG250" s="64"/>
      <c r="IH250" s="64"/>
      <c r="II250" s="64"/>
      <c r="IJ250" s="64"/>
      <c r="IK250" s="64"/>
      <c r="IL250" s="64"/>
      <c r="IM250" s="64"/>
      <c r="IN250" s="64"/>
      <c r="IO250" s="64"/>
      <c r="IP250" s="64"/>
      <c r="IQ250" s="64"/>
      <c r="IR250" s="64"/>
      <c r="IS250" s="64"/>
      <c r="IT250" s="64"/>
      <c r="IU250" s="64"/>
      <c r="IV250" s="64"/>
      <c r="IW250" s="64"/>
      <c r="IX250" s="64"/>
      <c r="IY250" s="64"/>
      <c r="IZ250" s="64"/>
      <c r="JA250" s="64"/>
      <c r="JB250" s="64"/>
      <c r="JC250" s="64"/>
      <c r="JD250" s="64"/>
      <c r="JE250" s="64"/>
      <c r="JF250" s="64"/>
      <c r="JG250" s="64"/>
      <c r="JH250" s="64"/>
      <c r="JI250" s="64"/>
    </row>
    <row r="251" spans="1:269" s="920" customFormat="1" x14ac:dyDescent="0.2">
      <c r="A251" s="116"/>
      <c r="B251" s="64"/>
      <c r="C251" s="64"/>
      <c r="D251" s="64"/>
      <c r="E251" s="64"/>
      <c r="F251" s="64"/>
      <c r="G251" s="64"/>
      <c r="H251" s="64"/>
      <c r="I251" s="64"/>
      <c r="J251" s="116"/>
      <c r="K251" s="116"/>
      <c r="L251" s="116"/>
      <c r="M251" s="116"/>
      <c r="N251" s="116"/>
      <c r="O251" s="116"/>
      <c r="P251" s="116"/>
      <c r="Q251" s="102"/>
      <c r="R251" s="102"/>
      <c r="S251" s="102"/>
      <c r="T251" s="102"/>
      <c r="U251" s="913"/>
      <c r="V251" s="114"/>
      <c r="W251" s="805"/>
      <c r="X251" s="805"/>
      <c r="Y251" s="805"/>
      <c r="Z251" s="914"/>
      <c r="AA251" s="102"/>
      <c r="AB251" s="102"/>
      <c r="AC251" s="102"/>
      <c r="AD251" s="102"/>
      <c r="AE251" s="102"/>
      <c r="AF251" s="102"/>
      <c r="AG251" s="102"/>
      <c r="AH251" s="102"/>
      <c r="AI251" s="102"/>
      <c r="AJ251" s="102"/>
      <c r="AK251" s="102"/>
      <c r="AL251" s="915"/>
      <c r="AM251" s="915"/>
      <c r="AN251" s="114"/>
      <c r="AO251" s="64"/>
      <c r="AP251" s="64"/>
      <c r="AQ251" s="64"/>
      <c r="AR251" s="916"/>
      <c r="AS251" s="916"/>
      <c r="AT251" s="916"/>
      <c r="AU251" s="917"/>
      <c r="AV251" s="917"/>
      <c r="AW251" s="917"/>
      <c r="AX251" s="918"/>
      <c r="AY251" s="916"/>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917"/>
      <c r="CA251" s="917"/>
      <c r="CB251" s="64"/>
      <c r="CC251" s="919"/>
      <c r="CD251" s="919"/>
      <c r="CE251" s="64"/>
      <c r="CF251" s="528"/>
      <c r="CG251" s="529"/>
      <c r="CH251" s="64"/>
      <c r="CI251" s="64"/>
      <c r="CJ251" s="64"/>
      <c r="CK251" s="64"/>
      <c r="CL251" s="64"/>
      <c r="CM251" s="64"/>
      <c r="CN251" s="64"/>
      <c r="CO251" s="64"/>
      <c r="CP251" s="64"/>
      <c r="CQ251" s="64"/>
      <c r="CR251" s="64"/>
      <c r="CS251" s="64"/>
      <c r="CT251" s="64"/>
      <c r="CU251" s="64"/>
      <c r="CV251" s="64"/>
      <c r="CW251" s="64"/>
      <c r="CX251" s="64"/>
      <c r="CY251" s="1011"/>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c r="FC251" s="64"/>
      <c r="FD251" s="64"/>
      <c r="FE251" s="64"/>
      <c r="FF251" s="64"/>
      <c r="FG251" s="64"/>
      <c r="FH251" s="64"/>
      <c r="FI251" s="64"/>
      <c r="FJ251" s="64"/>
      <c r="FK251" s="64"/>
      <c r="FL251" s="64"/>
      <c r="FM251" s="64"/>
      <c r="FN251" s="64"/>
      <c r="FO251" s="64"/>
      <c r="FP251" s="64"/>
      <c r="FQ251" s="64"/>
      <c r="FR251" s="64"/>
      <c r="FS251" s="64"/>
      <c r="FT251" s="64"/>
      <c r="FU251" s="64"/>
      <c r="FV251" s="64"/>
      <c r="FW251" s="64"/>
      <c r="FX251" s="64"/>
      <c r="FY251" s="64"/>
      <c r="FZ251" s="64"/>
      <c r="GA251" s="64"/>
      <c r="GB251" s="64"/>
      <c r="GC251" s="64"/>
      <c r="GD251" s="64"/>
      <c r="GE251" s="64"/>
      <c r="GF251" s="64"/>
      <c r="GG251" s="64"/>
      <c r="GH251" s="64"/>
      <c r="GI251" s="64"/>
      <c r="GJ251" s="64"/>
      <c r="GK251" s="64"/>
      <c r="GL251" s="64"/>
      <c r="GM251" s="64"/>
      <c r="GN251" s="64"/>
      <c r="GO251" s="64"/>
      <c r="GP251" s="64"/>
      <c r="GQ251" s="64"/>
      <c r="GR251" s="64"/>
      <c r="GS251" s="64"/>
      <c r="GT251" s="64"/>
      <c r="GU251" s="64"/>
      <c r="GV251" s="64"/>
      <c r="GW251" s="64"/>
      <c r="GX251" s="64"/>
      <c r="GY251" s="64"/>
      <c r="GZ251" s="64"/>
      <c r="HA251" s="64"/>
      <c r="HB251" s="64"/>
      <c r="HC251" s="64"/>
      <c r="HD251" s="64"/>
      <c r="HE251" s="64"/>
      <c r="HF251" s="64"/>
      <c r="HG251" s="64"/>
      <c r="HH251" s="64"/>
      <c r="HI251" s="64"/>
      <c r="HJ251" s="64"/>
      <c r="HK251" s="64"/>
      <c r="HL251" s="64"/>
      <c r="HM251" s="64"/>
      <c r="HN251" s="64"/>
      <c r="HO251" s="64"/>
      <c r="HP251" s="64"/>
      <c r="HQ251" s="64"/>
      <c r="HR251" s="64"/>
      <c r="HS251" s="64"/>
      <c r="HT251" s="64"/>
      <c r="HU251" s="64"/>
      <c r="HV251" s="64"/>
      <c r="HW251" s="64"/>
      <c r="HX251" s="64"/>
      <c r="HY251" s="64"/>
      <c r="HZ251" s="64"/>
      <c r="IA251" s="64"/>
      <c r="IB251" s="64"/>
      <c r="IC251" s="64"/>
      <c r="ID251" s="64"/>
      <c r="IE251" s="64"/>
      <c r="IF251" s="64"/>
      <c r="IG251" s="64"/>
      <c r="IH251" s="64"/>
      <c r="II251" s="64"/>
      <c r="IJ251" s="64"/>
      <c r="IK251" s="64"/>
      <c r="IL251" s="64"/>
      <c r="IM251" s="64"/>
      <c r="IN251" s="64"/>
      <c r="IO251" s="64"/>
      <c r="IP251" s="64"/>
      <c r="IQ251" s="64"/>
      <c r="IR251" s="64"/>
      <c r="IS251" s="64"/>
      <c r="IT251" s="64"/>
      <c r="IU251" s="64"/>
      <c r="IV251" s="64"/>
      <c r="IW251" s="64"/>
      <c r="IX251" s="64"/>
      <c r="IY251" s="64"/>
      <c r="IZ251" s="64"/>
      <c r="JA251" s="64"/>
      <c r="JB251" s="64"/>
      <c r="JC251" s="64"/>
      <c r="JD251" s="64"/>
      <c r="JE251" s="64"/>
      <c r="JF251" s="64"/>
      <c r="JG251" s="64"/>
      <c r="JH251" s="64"/>
      <c r="JI251" s="64"/>
    </row>
    <row r="252" spans="1:269" s="920" customFormat="1" x14ac:dyDescent="0.2">
      <c r="A252" s="116"/>
      <c r="B252" s="64"/>
      <c r="C252" s="64"/>
      <c r="D252" s="64"/>
      <c r="E252" s="64"/>
      <c r="F252" s="64"/>
      <c r="G252" s="64"/>
      <c r="H252" s="64"/>
      <c r="I252" s="64"/>
      <c r="J252" s="116"/>
      <c r="K252" s="116"/>
      <c r="L252" s="116"/>
      <c r="M252" s="116"/>
      <c r="N252" s="116"/>
      <c r="O252" s="116"/>
      <c r="P252" s="116"/>
      <c r="Q252" s="102"/>
      <c r="R252" s="102"/>
      <c r="S252" s="102"/>
      <c r="T252" s="102"/>
      <c r="U252" s="913"/>
      <c r="V252" s="114"/>
      <c r="W252" s="805"/>
      <c r="X252" s="805"/>
      <c r="Y252" s="805"/>
      <c r="Z252" s="914"/>
      <c r="AA252" s="102"/>
      <c r="AB252" s="102"/>
      <c r="AC252" s="102"/>
      <c r="AD252" s="102"/>
      <c r="AE252" s="102"/>
      <c r="AF252" s="102"/>
      <c r="AG252" s="102"/>
      <c r="AH252" s="102"/>
      <c r="AI252" s="102"/>
      <c r="AJ252" s="102"/>
      <c r="AK252" s="102"/>
      <c r="AL252" s="915"/>
      <c r="AM252" s="915"/>
      <c r="AN252" s="114"/>
      <c r="AO252" s="64"/>
      <c r="AP252" s="64"/>
      <c r="AQ252" s="64"/>
      <c r="AR252" s="916"/>
      <c r="AS252" s="916"/>
      <c r="AT252" s="916"/>
      <c r="AU252" s="917"/>
      <c r="AV252" s="917"/>
      <c r="AW252" s="917"/>
      <c r="AX252" s="918"/>
      <c r="AY252" s="916"/>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917"/>
      <c r="CA252" s="917"/>
      <c r="CB252" s="64"/>
      <c r="CC252" s="919"/>
      <c r="CD252" s="919"/>
      <c r="CE252" s="64"/>
      <c r="CF252" s="528"/>
      <c r="CG252" s="529"/>
      <c r="CH252" s="64"/>
      <c r="CI252" s="64"/>
      <c r="CJ252" s="64"/>
      <c r="CK252" s="64"/>
      <c r="CL252" s="64"/>
      <c r="CM252" s="64"/>
      <c r="CN252" s="64"/>
      <c r="CO252" s="64"/>
      <c r="CP252" s="64"/>
      <c r="CQ252" s="64"/>
      <c r="CR252" s="64"/>
      <c r="CS252" s="64"/>
      <c r="CT252" s="64"/>
      <c r="CU252" s="64"/>
      <c r="CV252" s="64"/>
      <c r="CW252" s="64"/>
      <c r="CX252" s="64"/>
      <c r="CY252" s="1011"/>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c r="FC252" s="64"/>
      <c r="FD252" s="64"/>
      <c r="FE252" s="64"/>
      <c r="FF252" s="64"/>
      <c r="FG252" s="64"/>
      <c r="FH252" s="64"/>
      <c r="FI252" s="64"/>
      <c r="FJ252" s="64"/>
      <c r="FK252" s="64"/>
      <c r="FL252" s="64"/>
      <c r="FM252" s="64"/>
      <c r="FN252" s="64"/>
      <c r="FO252" s="64"/>
      <c r="FP252" s="64"/>
      <c r="FQ252" s="64"/>
      <c r="FR252" s="64"/>
      <c r="FS252" s="64"/>
      <c r="FT252" s="64"/>
      <c r="FU252" s="64"/>
      <c r="FV252" s="64"/>
      <c r="FW252" s="64"/>
      <c r="FX252" s="64"/>
      <c r="FY252" s="64"/>
      <c r="FZ252" s="64"/>
      <c r="GA252" s="64"/>
      <c r="GB252" s="64"/>
      <c r="GC252" s="64"/>
      <c r="GD252" s="64"/>
      <c r="GE252" s="64"/>
      <c r="GF252" s="64"/>
      <c r="GG252" s="64"/>
      <c r="GH252" s="64"/>
      <c r="GI252" s="64"/>
      <c r="GJ252" s="64"/>
      <c r="GK252" s="64"/>
      <c r="GL252" s="64"/>
      <c r="GM252" s="64"/>
      <c r="GN252" s="64"/>
      <c r="GO252" s="64"/>
      <c r="GP252" s="64"/>
      <c r="GQ252" s="64"/>
      <c r="GR252" s="64"/>
      <c r="GS252" s="64"/>
      <c r="GT252" s="64"/>
      <c r="GU252" s="64"/>
      <c r="GV252" s="64"/>
      <c r="GW252" s="64"/>
      <c r="GX252" s="64"/>
      <c r="GY252" s="64"/>
      <c r="GZ252" s="64"/>
      <c r="HA252" s="64"/>
      <c r="HB252" s="64"/>
      <c r="HC252" s="64"/>
      <c r="HD252" s="64"/>
      <c r="HE252" s="64"/>
      <c r="HF252" s="64"/>
      <c r="HG252" s="64"/>
      <c r="HH252" s="64"/>
      <c r="HI252" s="64"/>
      <c r="HJ252" s="64"/>
      <c r="HK252" s="64"/>
      <c r="HL252" s="64"/>
      <c r="HM252" s="64"/>
      <c r="HN252" s="64"/>
      <c r="HO252" s="64"/>
      <c r="HP252" s="64"/>
      <c r="HQ252" s="64"/>
      <c r="HR252" s="64"/>
      <c r="HS252" s="64"/>
      <c r="HT252" s="64"/>
      <c r="HU252" s="64"/>
      <c r="HV252" s="64"/>
      <c r="HW252" s="64"/>
      <c r="HX252" s="64"/>
      <c r="HY252" s="64"/>
      <c r="HZ252" s="64"/>
      <c r="IA252" s="64"/>
      <c r="IB252" s="64"/>
      <c r="IC252" s="64"/>
      <c r="ID252" s="64"/>
      <c r="IE252" s="64"/>
      <c r="IF252" s="64"/>
      <c r="IG252" s="64"/>
      <c r="IH252" s="64"/>
      <c r="II252" s="64"/>
      <c r="IJ252" s="64"/>
      <c r="IK252" s="64"/>
      <c r="IL252" s="64"/>
      <c r="IM252" s="64"/>
      <c r="IN252" s="64"/>
      <c r="IO252" s="64"/>
      <c r="IP252" s="64"/>
      <c r="IQ252" s="64"/>
      <c r="IR252" s="64"/>
      <c r="IS252" s="64"/>
      <c r="IT252" s="64"/>
      <c r="IU252" s="64"/>
      <c r="IV252" s="64"/>
      <c r="IW252" s="64"/>
      <c r="IX252" s="64"/>
      <c r="IY252" s="64"/>
      <c r="IZ252" s="64"/>
      <c r="JA252" s="64"/>
      <c r="JB252" s="64"/>
      <c r="JC252" s="64"/>
      <c r="JD252" s="64"/>
      <c r="JE252" s="64"/>
      <c r="JF252" s="64"/>
      <c r="JG252" s="64"/>
      <c r="JH252" s="64"/>
      <c r="JI252" s="64"/>
    </row>
    <row r="253" spans="1:269" s="920" customFormat="1" x14ac:dyDescent="0.2">
      <c r="A253" s="116"/>
      <c r="B253" s="64"/>
      <c r="C253" s="64"/>
      <c r="D253" s="64"/>
      <c r="E253" s="64"/>
      <c r="F253" s="64"/>
      <c r="G253" s="64"/>
      <c r="H253" s="64"/>
      <c r="I253" s="64"/>
      <c r="J253" s="116"/>
      <c r="K253" s="116"/>
      <c r="L253" s="116"/>
      <c r="M253" s="116"/>
      <c r="N253" s="116"/>
      <c r="O253" s="116"/>
      <c r="P253" s="116"/>
      <c r="Q253" s="102"/>
      <c r="R253" s="102"/>
      <c r="S253" s="102"/>
      <c r="T253" s="102"/>
      <c r="U253" s="913"/>
      <c r="V253" s="114"/>
      <c r="W253" s="805"/>
      <c r="X253" s="805"/>
      <c r="Y253" s="805"/>
      <c r="Z253" s="914"/>
      <c r="AA253" s="102"/>
      <c r="AB253" s="102"/>
      <c r="AC253" s="102"/>
      <c r="AD253" s="102"/>
      <c r="AE253" s="102"/>
      <c r="AF253" s="102"/>
      <c r="AG253" s="102"/>
      <c r="AH253" s="102"/>
      <c r="AI253" s="102"/>
      <c r="AJ253" s="102"/>
      <c r="AK253" s="102"/>
      <c r="AL253" s="915"/>
      <c r="AM253" s="915"/>
      <c r="AN253" s="114"/>
      <c r="AO253" s="64"/>
      <c r="AP253" s="64"/>
      <c r="AQ253" s="64"/>
      <c r="AR253" s="916"/>
      <c r="AS253" s="916"/>
      <c r="AT253" s="916"/>
      <c r="AU253" s="917"/>
      <c r="AV253" s="917"/>
      <c r="AW253" s="917"/>
      <c r="AX253" s="918"/>
      <c r="AY253" s="916"/>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917"/>
      <c r="CA253" s="917"/>
      <c r="CB253" s="64"/>
      <c r="CC253" s="919"/>
      <c r="CD253" s="919"/>
      <c r="CE253" s="64"/>
      <c r="CF253" s="528"/>
      <c r="CG253" s="529"/>
      <c r="CH253" s="64"/>
      <c r="CI253" s="64"/>
      <c r="CJ253" s="64"/>
      <c r="CK253" s="64"/>
      <c r="CL253" s="64"/>
      <c r="CM253" s="64"/>
      <c r="CN253" s="64"/>
      <c r="CO253" s="64"/>
      <c r="CP253" s="64"/>
      <c r="CQ253" s="64"/>
      <c r="CR253" s="64"/>
      <c r="CS253" s="64"/>
      <c r="CT253" s="64"/>
      <c r="CU253" s="64"/>
      <c r="CV253" s="64"/>
      <c r="CW253" s="64"/>
      <c r="CX253" s="64"/>
      <c r="CY253" s="1011"/>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c r="FC253" s="64"/>
      <c r="FD253" s="64"/>
      <c r="FE253" s="64"/>
      <c r="FF253" s="64"/>
      <c r="FG253" s="64"/>
      <c r="FH253" s="64"/>
      <c r="FI253" s="64"/>
      <c r="FJ253" s="64"/>
      <c r="FK253" s="64"/>
      <c r="FL253" s="64"/>
      <c r="FM253" s="64"/>
      <c r="FN253" s="64"/>
      <c r="FO253" s="64"/>
      <c r="FP253" s="64"/>
      <c r="FQ253" s="64"/>
      <c r="FR253" s="64"/>
      <c r="FS253" s="64"/>
      <c r="FT253" s="64"/>
      <c r="FU253" s="64"/>
      <c r="FV253" s="64"/>
      <c r="FW253" s="64"/>
      <c r="FX253" s="64"/>
      <c r="FY253" s="64"/>
      <c r="FZ253" s="64"/>
      <c r="GA253" s="64"/>
      <c r="GB253" s="64"/>
      <c r="GC253" s="64"/>
      <c r="GD253" s="64"/>
      <c r="GE253" s="64"/>
      <c r="GF253" s="64"/>
      <c r="GG253" s="64"/>
      <c r="GH253" s="64"/>
      <c r="GI253" s="64"/>
      <c r="GJ253" s="64"/>
      <c r="GK253" s="64"/>
      <c r="GL253" s="64"/>
      <c r="GM253" s="64"/>
      <c r="GN253" s="64"/>
      <c r="GO253" s="64"/>
      <c r="GP253" s="64"/>
      <c r="GQ253" s="64"/>
      <c r="GR253" s="64"/>
      <c r="GS253" s="64"/>
      <c r="GT253" s="64"/>
      <c r="GU253" s="64"/>
      <c r="GV253" s="64"/>
      <c r="GW253" s="64"/>
      <c r="GX253" s="64"/>
      <c r="GY253" s="64"/>
      <c r="GZ253" s="64"/>
      <c r="HA253" s="64"/>
      <c r="HB253" s="64"/>
      <c r="HC253" s="64"/>
      <c r="HD253" s="64"/>
      <c r="HE253" s="64"/>
      <c r="HF253" s="64"/>
      <c r="HG253" s="64"/>
      <c r="HH253" s="64"/>
      <c r="HI253" s="64"/>
      <c r="HJ253" s="64"/>
      <c r="HK253" s="64"/>
      <c r="HL253" s="64"/>
      <c r="HM253" s="64"/>
      <c r="HN253" s="64"/>
      <c r="HO253" s="64"/>
      <c r="HP253" s="64"/>
      <c r="HQ253" s="64"/>
      <c r="HR253" s="64"/>
      <c r="HS253" s="64"/>
      <c r="HT253" s="64"/>
      <c r="HU253" s="64"/>
      <c r="HV253" s="64"/>
      <c r="HW253" s="64"/>
      <c r="HX253" s="64"/>
      <c r="HY253" s="64"/>
      <c r="HZ253" s="64"/>
      <c r="IA253" s="64"/>
      <c r="IB253" s="64"/>
      <c r="IC253" s="64"/>
      <c r="ID253" s="64"/>
      <c r="IE253" s="64"/>
      <c r="IF253" s="64"/>
      <c r="IG253" s="64"/>
      <c r="IH253" s="64"/>
      <c r="II253" s="64"/>
      <c r="IJ253" s="64"/>
      <c r="IK253" s="64"/>
      <c r="IL253" s="64"/>
      <c r="IM253" s="64"/>
      <c r="IN253" s="64"/>
      <c r="IO253" s="64"/>
      <c r="IP253" s="64"/>
      <c r="IQ253" s="64"/>
      <c r="IR253" s="64"/>
      <c r="IS253" s="64"/>
      <c r="IT253" s="64"/>
      <c r="IU253" s="64"/>
      <c r="IV253" s="64"/>
      <c r="IW253" s="64"/>
      <c r="IX253" s="64"/>
      <c r="IY253" s="64"/>
      <c r="IZ253" s="64"/>
      <c r="JA253" s="64"/>
      <c r="JB253" s="64"/>
      <c r="JC253" s="64"/>
      <c r="JD253" s="64"/>
      <c r="JE253" s="64"/>
      <c r="JF253" s="64"/>
      <c r="JG253" s="64"/>
      <c r="JH253" s="64"/>
      <c r="JI253" s="64"/>
    </row>
    <row r="254" spans="1:269" s="920" customFormat="1" x14ac:dyDescent="0.2">
      <c r="A254" s="116"/>
      <c r="B254" s="64"/>
      <c r="C254" s="64"/>
      <c r="D254" s="64"/>
      <c r="E254" s="64"/>
      <c r="F254" s="64"/>
      <c r="G254" s="64"/>
      <c r="H254" s="64"/>
      <c r="I254" s="64"/>
      <c r="J254" s="116"/>
      <c r="K254" s="116"/>
      <c r="L254" s="116"/>
      <c r="M254" s="116"/>
      <c r="N254" s="116"/>
      <c r="O254" s="116"/>
      <c r="P254" s="116"/>
      <c r="Q254" s="102"/>
      <c r="R254" s="102"/>
      <c r="S254" s="102"/>
      <c r="T254" s="102"/>
      <c r="U254" s="913"/>
      <c r="V254" s="114"/>
      <c r="W254" s="805"/>
      <c r="X254" s="805"/>
      <c r="Y254" s="805"/>
      <c r="Z254" s="914"/>
      <c r="AA254" s="102"/>
      <c r="AB254" s="102"/>
      <c r="AC254" s="102"/>
      <c r="AD254" s="102"/>
      <c r="AE254" s="102"/>
      <c r="AF254" s="102"/>
      <c r="AG254" s="102"/>
      <c r="AH254" s="102"/>
      <c r="AI254" s="102"/>
      <c r="AJ254" s="102"/>
      <c r="AK254" s="102"/>
      <c r="AL254" s="915"/>
      <c r="AM254" s="915"/>
      <c r="AN254" s="114"/>
      <c r="AO254" s="64"/>
      <c r="AP254" s="64"/>
      <c r="AQ254" s="64"/>
      <c r="AR254" s="916"/>
      <c r="AS254" s="916"/>
      <c r="AT254" s="916"/>
      <c r="AU254" s="917"/>
      <c r="AV254" s="917"/>
      <c r="AW254" s="917"/>
      <c r="AX254" s="918"/>
      <c r="AY254" s="916"/>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917"/>
      <c r="CA254" s="917"/>
      <c r="CB254" s="64"/>
      <c r="CC254" s="919"/>
      <c r="CD254" s="919"/>
      <c r="CE254" s="64"/>
      <c r="CF254" s="528"/>
      <c r="CG254" s="529"/>
      <c r="CH254" s="64"/>
      <c r="CI254" s="64"/>
      <c r="CJ254" s="64"/>
      <c r="CK254" s="64"/>
      <c r="CL254" s="64"/>
      <c r="CM254" s="64"/>
      <c r="CN254" s="64"/>
      <c r="CO254" s="64"/>
      <c r="CP254" s="64"/>
      <c r="CQ254" s="64"/>
      <c r="CR254" s="64"/>
      <c r="CS254" s="64"/>
      <c r="CT254" s="64"/>
      <c r="CU254" s="64"/>
      <c r="CV254" s="64"/>
      <c r="CW254" s="64"/>
      <c r="CX254" s="64"/>
      <c r="CY254" s="1011"/>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c r="FC254" s="64"/>
      <c r="FD254" s="64"/>
      <c r="FE254" s="64"/>
      <c r="FF254" s="64"/>
      <c r="FG254" s="64"/>
      <c r="FH254" s="64"/>
      <c r="FI254" s="64"/>
      <c r="FJ254" s="64"/>
      <c r="FK254" s="64"/>
      <c r="FL254" s="64"/>
      <c r="FM254" s="64"/>
      <c r="FN254" s="64"/>
      <c r="FO254" s="64"/>
      <c r="FP254" s="64"/>
      <c r="FQ254" s="64"/>
      <c r="FR254" s="64"/>
      <c r="FS254" s="64"/>
      <c r="FT254" s="64"/>
      <c r="FU254" s="64"/>
      <c r="FV254" s="64"/>
      <c r="FW254" s="64"/>
      <c r="FX254" s="64"/>
      <c r="FY254" s="64"/>
      <c r="FZ254" s="64"/>
      <c r="GA254" s="64"/>
      <c r="GB254" s="64"/>
      <c r="GC254" s="64"/>
      <c r="GD254" s="64"/>
      <c r="GE254" s="64"/>
      <c r="GF254" s="64"/>
      <c r="GG254" s="64"/>
      <c r="GH254" s="64"/>
      <c r="GI254" s="64"/>
      <c r="GJ254" s="64"/>
      <c r="GK254" s="64"/>
      <c r="GL254" s="64"/>
      <c r="GM254" s="64"/>
      <c r="GN254" s="64"/>
      <c r="GO254" s="64"/>
      <c r="GP254" s="64"/>
      <c r="GQ254" s="64"/>
      <c r="GR254" s="64"/>
      <c r="GS254" s="64"/>
      <c r="GT254" s="64"/>
      <c r="GU254" s="64"/>
      <c r="GV254" s="64"/>
      <c r="GW254" s="64"/>
      <c r="GX254" s="64"/>
      <c r="GY254" s="64"/>
      <c r="GZ254" s="64"/>
      <c r="HA254" s="64"/>
      <c r="HB254" s="64"/>
      <c r="HC254" s="64"/>
      <c r="HD254" s="64"/>
      <c r="HE254" s="64"/>
      <c r="HF254" s="64"/>
      <c r="HG254" s="64"/>
      <c r="HH254" s="64"/>
      <c r="HI254" s="64"/>
      <c r="HJ254" s="64"/>
      <c r="HK254" s="64"/>
      <c r="HL254" s="64"/>
      <c r="HM254" s="64"/>
      <c r="HN254" s="64"/>
      <c r="HO254" s="64"/>
      <c r="HP254" s="64"/>
      <c r="HQ254" s="64"/>
      <c r="HR254" s="64"/>
      <c r="HS254" s="64"/>
      <c r="HT254" s="64"/>
      <c r="HU254" s="64"/>
      <c r="HV254" s="64"/>
      <c r="HW254" s="64"/>
      <c r="HX254" s="64"/>
      <c r="HY254" s="64"/>
      <c r="HZ254" s="64"/>
      <c r="IA254" s="64"/>
      <c r="IB254" s="64"/>
      <c r="IC254" s="64"/>
      <c r="ID254" s="64"/>
      <c r="IE254" s="64"/>
      <c r="IF254" s="64"/>
      <c r="IG254" s="64"/>
      <c r="IH254" s="64"/>
      <c r="II254" s="64"/>
      <c r="IJ254" s="64"/>
      <c r="IK254" s="64"/>
      <c r="IL254" s="64"/>
      <c r="IM254" s="64"/>
      <c r="IN254" s="64"/>
      <c r="IO254" s="64"/>
      <c r="IP254" s="64"/>
      <c r="IQ254" s="64"/>
      <c r="IR254" s="64"/>
      <c r="IS254" s="64"/>
      <c r="IT254" s="64"/>
      <c r="IU254" s="64"/>
      <c r="IV254" s="64"/>
      <c r="IW254" s="64"/>
      <c r="IX254" s="64"/>
      <c r="IY254" s="64"/>
      <c r="IZ254" s="64"/>
      <c r="JA254" s="64"/>
      <c r="JB254" s="64"/>
      <c r="JC254" s="64"/>
      <c r="JD254" s="64"/>
      <c r="JE254" s="64"/>
      <c r="JF254" s="64"/>
      <c r="JG254" s="64"/>
      <c r="JH254" s="64"/>
      <c r="JI254" s="64"/>
    </row>
    <row r="255" spans="1:269" s="920" customFormat="1" x14ac:dyDescent="0.2">
      <c r="A255" s="116"/>
      <c r="B255" s="64"/>
      <c r="C255" s="64"/>
      <c r="D255" s="64"/>
      <c r="E255" s="64"/>
      <c r="F255" s="64"/>
      <c r="G255" s="64"/>
      <c r="H255" s="64"/>
      <c r="I255" s="64"/>
      <c r="J255" s="116"/>
      <c r="K255" s="116"/>
      <c r="L255" s="116"/>
      <c r="M255" s="116"/>
      <c r="N255" s="116"/>
      <c r="O255" s="116"/>
      <c r="P255" s="116"/>
      <c r="Q255" s="102"/>
      <c r="R255" s="102"/>
      <c r="S255" s="102"/>
      <c r="T255" s="102"/>
      <c r="U255" s="913"/>
      <c r="V255" s="114"/>
      <c r="W255" s="805"/>
      <c r="X255" s="805"/>
      <c r="Y255" s="805"/>
      <c r="Z255" s="914"/>
      <c r="AA255" s="102"/>
      <c r="AB255" s="102"/>
      <c r="AC255" s="102"/>
      <c r="AD255" s="102"/>
      <c r="AE255" s="102"/>
      <c r="AF255" s="102"/>
      <c r="AG255" s="102"/>
      <c r="AH255" s="102"/>
      <c r="AI255" s="102"/>
      <c r="AJ255" s="102"/>
      <c r="AK255" s="102"/>
      <c r="AL255" s="915"/>
      <c r="AM255" s="915"/>
      <c r="AN255" s="114"/>
      <c r="AO255" s="64"/>
      <c r="AP255" s="64"/>
      <c r="AQ255" s="64"/>
      <c r="AR255" s="916"/>
      <c r="AS255" s="916"/>
      <c r="AT255" s="916"/>
      <c r="AU255" s="917"/>
      <c r="AV255" s="917"/>
      <c r="AW255" s="917"/>
      <c r="AX255" s="918"/>
      <c r="AY255" s="916"/>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917"/>
      <c r="CA255" s="917"/>
      <c r="CB255" s="64"/>
      <c r="CC255" s="919"/>
      <c r="CD255" s="919"/>
      <c r="CE255" s="64"/>
      <c r="CF255" s="528"/>
      <c r="CG255" s="529"/>
      <c r="CH255" s="64"/>
      <c r="CI255" s="64"/>
      <c r="CJ255" s="64"/>
      <c r="CK255" s="64"/>
      <c r="CL255" s="64"/>
      <c r="CM255" s="64"/>
      <c r="CN255" s="64"/>
      <c r="CO255" s="64"/>
      <c r="CP255" s="64"/>
      <c r="CQ255" s="64"/>
      <c r="CR255" s="64"/>
      <c r="CS255" s="64"/>
      <c r="CT255" s="64"/>
      <c r="CU255" s="64"/>
      <c r="CV255" s="64"/>
      <c r="CW255" s="64"/>
      <c r="CX255" s="64"/>
      <c r="CY255" s="1011"/>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c r="FC255" s="64"/>
      <c r="FD255" s="64"/>
      <c r="FE255" s="64"/>
      <c r="FF255" s="64"/>
      <c r="FG255" s="64"/>
      <c r="FH255" s="64"/>
      <c r="FI255" s="64"/>
      <c r="FJ255" s="64"/>
      <c r="FK255" s="64"/>
      <c r="FL255" s="64"/>
      <c r="FM255" s="64"/>
      <c r="FN255" s="64"/>
      <c r="FO255" s="64"/>
      <c r="FP255" s="64"/>
      <c r="FQ255" s="64"/>
      <c r="FR255" s="64"/>
      <c r="FS255" s="64"/>
      <c r="FT255" s="64"/>
      <c r="FU255" s="64"/>
      <c r="FV255" s="64"/>
      <c r="FW255" s="64"/>
      <c r="FX255" s="64"/>
      <c r="FY255" s="64"/>
      <c r="FZ255" s="64"/>
      <c r="GA255" s="64"/>
      <c r="GB255" s="64"/>
      <c r="GC255" s="64"/>
      <c r="GD255" s="64"/>
      <c r="GE255" s="64"/>
      <c r="GF255" s="64"/>
      <c r="GG255" s="64"/>
      <c r="GH255" s="64"/>
      <c r="GI255" s="64"/>
      <c r="GJ255" s="64"/>
      <c r="GK255" s="64"/>
      <c r="GL255" s="64"/>
      <c r="GM255" s="64"/>
      <c r="GN255" s="64"/>
      <c r="GO255" s="64"/>
      <c r="GP255" s="64"/>
      <c r="GQ255" s="64"/>
      <c r="GR255" s="64"/>
      <c r="GS255" s="64"/>
      <c r="GT255" s="64"/>
      <c r="GU255" s="64"/>
      <c r="GV255" s="64"/>
      <c r="GW255" s="64"/>
      <c r="GX255" s="64"/>
      <c r="GY255" s="64"/>
      <c r="GZ255" s="64"/>
      <c r="HA255" s="64"/>
      <c r="HB255" s="64"/>
      <c r="HC255" s="64"/>
      <c r="HD255" s="64"/>
      <c r="HE255" s="64"/>
      <c r="HF255" s="64"/>
      <c r="HG255" s="64"/>
      <c r="HH255" s="64"/>
      <c r="HI255" s="64"/>
      <c r="HJ255" s="64"/>
      <c r="HK255" s="64"/>
      <c r="HL255" s="64"/>
      <c r="HM255" s="64"/>
      <c r="HN255" s="64"/>
      <c r="HO255" s="64"/>
      <c r="HP255" s="64"/>
      <c r="HQ255" s="64"/>
      <c r="HR255" s="64"/>
      <c r="HS255" s="64"/>
      <c r="HT255" s="64"/>
      <c r="HU255" s="64"/>
      <c r="HV255" s="64"/>
      <c r="HW255" s="64"/>
      <c r="HX255" s="64"/>
      <c r="HY255" s="64"/>
      <c r="HZ255" s="64"/>
      <c r="IA255" s="64"/>
      <c r="IB255" s="64"/>
      <c r="IC255" s="64"/>
      <c r="ID255" s="64"/>
      <c r="IE255" s="64"/>
      <c r="IF255" s="64"/>
      <c r="IG255" s="64"/>
      <c r="IH255" s="64"/>
      <c r="II255" s="64"/>
      <c r="IJ255" s="64"/>
      <c r="IK255" s="64"/>
      <c r="IL255" s="64"/>
      <c r="IM255" s="64"/>
      <c r="IN255" s="64"/>
      <c r="IO255" s="64"/>
      <c r="IP255" s="64"/>
      <c r="IQ255" s="64"/>
      <c r="IR255" s="64"/>
      <c r="IS255" s="64"/>
      <c r="IT255" s="64"/>
      <c r="IU255" s="64"/>
      <c r="IV255" s="64"/>
      <c r="IW255" s="64"/>
      <c r="IX255" s="64"/>
      <c r="IY255" s="64"/>
      <c r="IZ255" s="64"/>
      <c r="JA255" s="64"/>
      <c r="JB255" s="64"/>
      <c r="JC255" s="64"/>
      <c r="JD255" s="64"/>
      <c r="JE255" s="64"/>
      <c r="JF255" s="64"/>
      <c r="JG255" s="64"/>
      <c r="JH255" s="64"/>
      <c r="JI255" s="64"/>
    </row>
    <row r="256" spans="1:269" s="920" customFormat="1" x14ac:dyDescent="0.2">
      <c r="A256" s="116"/>
      <c r="B256" s="64"/>
      <c r="C256" s="64"/>
      <c r="D256" s="64"/>
      <c r="E256" s="64"/>
      <c r="F256" s="64"/>
      <c r="G256" s="64"/>
      <c r="H256" s="64"/>
      <c r="I256" s="64"/>
      <c r="J256" s="116"/>
      <c r="K256" s="116"/>
      <c r="L256" s="116"/>
      <c r="M256" s="116"/>
      <c r="N256" s="116"/>
      <c r="O256" s="116"/>
      <c r="P256" s="116"/>
      <c r="Q256" s="102"/>
      <c r="R256" s="102"/>
      <c r="S256" s="102"/>
      <c r="T256" s="102"/>
      <c r="U256" s="913"/>
      <c r="V256" s="114"/>
      <c r="W256" s="805"/>
      <c r="X256" s="805"/>
      <c r="Y256" s="805"/>
      <c r="Z256" s="914"/>
      <c r="AA256" s="102"/>
      <c r="AB256" s="102"/>
      <c r="AC256" s="102"/>
      <c r="AD256" s="102"/>
      <c r="AE256" s="102"/>
      <c r="AF256" s="102"/>
      <c r="AG256" s="102"/>
      <c r="AH256" s="102"/>
      <c r="AI256" s="102"/>
      <c r="AJ256" s="102"/>
      <c r="AK256" s="102"/>
      <c r="AL256" s="915"/>
      <c r="AM256" s="915"/>
      <c r="AN256" s="114"/>
      <c r="AO256" s="64"/>
      <c r="AP256" s="64"/>
      <c r="AQ256" s="64"/>
      <c r="AR256" s="916"/>
      <c r="AS256" s="916"/>
      <c r="AT256" s="916"/>
      <c r="AU256" s="917"/>
      <c r="AV256" s="917"/>
      <c r="AW256" s="917"/>
      <c r="AX256" s="918"/>
      <c r="AY256" s="916"/>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917"/>
      <c r="CA256" s="917"/>
      <c r="CB256" s="64"/>
      <c r="CC256" s="919"/>
      <c r="CD256" s="919"/>
      <c r="CE256" s="64"/>
      <c r="CF256" s="528"/>
      <c r="CG256" s="529"/>
      <c r="CH256" s="64"/>
      <c r="CI256" s="64"/>
      <c r="CJ256" s="64"/>
      <c r="CK256" s="64"/>
      <c r="CL256" s="64"/>
      <c r="CM256" s="64"/>
      <c r="CN256" s="64"/>
      <c r="CO256" s="64"/>
      <c r="CP256" s="64"/>
      <c r="CQ256" s="64"/>
      <c r="CR256" s="64"/>
      <c r="CS256" s="64"/>
      <c r="CT256" s="64"/>
      <c r="CU256" s="64"/>
      <c r="CV256" s="64"/>
      <c r="CW256" s="64"/>
      <c r="CX256" s="64"/>
      <c r="CY256" s="1011"/>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c r="FC256" s="64"/>
      <c r="FD256" s="64"/>
      <c r="FE256" s="64"/>
      <c r="FF256" s="64"/>
      <c r="FG256" s="64"/>
      <c r="FH256" s="64"/>
      <c r="FI256" s="64"/>
      <c r="FJ256" s="64"/>
      <c r="FK256" s="64"/>
      <c r="FL256" s="64"/>
      <c r="FM256" s="64"/>
      <c r="FN256" s="64"/>
      <c r="FO256" s="64"/>
      <c r="FP256" s="64"/>
      <c r="FQ256" s="64"/>
      <c r="FR256" s="64"/>
      <c r="FS256" s="64"/>
      <c r="FT256" s="64"/>
      <c r="FU256" s="64"/>
      <c r="FV256" s="64"/>
      <c r="FW256" s="64"/>
      <c r="FX256" s="64"/>
      <c r="FY256" s="64"/>
      <c r="FZ256" s="64"/>
      <c r="GA256" s="64"/>
      <c r="GB256" s="64"/>
      <c r="GC256" s="64"/>
      <c r="GD256" s="64"/>
      <c r="GE256" s="64"/>
      <c r="GF256" s="64"/>
      <c r="GG256" s="64"/>
      <c r="GH256" s="64"/>
      <c r="GI256" s="64"/>
      <c r="GJ256" s="64"/>
      <c r="GK256" s="64"/>
      <c r="GL256" s="64"/>
      <c r="GM256" s="64"/>
      <c r="GN256" s="64"/>
      <c r="GO256" s="64"/>
      <c r="GP256" s="64"/>
      <c r="GQ256" s="64"/>
      <c r="GR256" s="64"/>
      <c r="GS256" s="64"/>
      <c r="GT256" s="64"/>
      <c r="GU256" s="64"/>
      <c r="GV256" s="64"/>
      <c r="GW256" s="64"/>
      <c r="GX256" s="64"/>
      <c r="GY256" s="64"/>
      <c r="GZ256" s="64"/>
      <c r="HA256" s="64"/>
      <c r="HB256" s="64"/>
      <c r="HC256" s="64"/>
      <c r="HD256" s="64"/>
      <c r="HE256" s="64"/>
      <c r="HF256" s="64"/>
      <c r="HG256" s="64"/>
      <c r="HH256" s="64"/>
      <c r="HI256" s="64"/>
      <c r="HJ256" s="64"/>
      <c r="HK256" s="64"/>
      <c r="HL256" s="64"/>
      <c r="HM256" s="64"/>
      <c r="HN256" s="64"/>
      <c r="HO256" s="64"/>
      <c r="HP256" s="64"/>
      <c r="HQ256" s="64"/>
      <c r="HR256" s="64"/>
      <c r="HS256" s="64"/>
      <c r="HT256" s="64"/>
      <c r="HU256" s="64"/>
      <c r="HV256" s="64"/>
      <c r="HW256" s="64"/>
      <c r="HX256" s="64"/>
      <c r="HY256" s="64"/>
      <c r="HZ256" s="64"/>
      <c r="IA256" s="64"/>
      <c r="IB256" s="64"/>
      <c r="IC256" s="64"/>
      <c r="ID256" s="64"/>
      <c r="IE256" s="64"/>
      <c r="IF256" s="64"/>
      <c r="IG256" s="64"/>
      <c r="IH256" s="64"/>
      <c r="II256" s="64"/>
      <c r="IJ256" s="64"/>
      <c r="IK256" s="64"/>
      <c r="IL256" s="64"/>
      <c r="IM256" s="64"/>
      <c r="IN256" s="64"/>
      <c r="IO256" s="64"/>
      <c r="IP256" s="64"/>
      <c r="IQ256" s="64"/>
      <c r="IR256" s="64"/>
      <c r="IS256" s="64"/>
      <c r="IT256" s="64"/>
      <c r="IU256" s="64"/>
      <c r="IV256" s="64"/>
      <c r="IW256" s="64"/>
      <c r="IX256" s="64"/>
      <c r="IY256" s="64"/>
      <c r="IZ256" s="64"/>
      <c r="JA256" s="64"/>
      <c r="JB256" s="64"/>
      <c r="JC256" s="64"/>
      <c r="JD256" s="64"/>
      <c r="JE256" s="64"/>
      <c r="JF256" s="64"/>
      <c r="JG256" s="64"/>
      <c r="JH256" s="64"/>
      <c r="JI256" s="64"/>
    </row>
    <row r="257" spans="1:269" s="920" customFormat="1" x14ac:dyDescent="0.2">
      <c r="A257" s="116"/>
      <c r="B257" s="64"/>
      <c r="C257" s="64"/>
      <c r="D257" s="64"/>
      <c r="E257" s="64"/>
      <c r="F257" s="64"/>
      <c r="G257" s="64"/>
      <c r="H257" s="64"/>
      <c r="I257" s="64"/>
      <c r="J257" s="116"/>
      <c r="K257" s="116"/>
      <c r="L257" s="116"/>
      <c r="M257" s="116"/>
      <c r="N257" s="116"/>
      <c r="O257" s="116"/>
      <c r="P257" s="116"/>
      <c r="Q257" s="102"/>
      <c r="R257" s="102"/>
      <c r="S257" s="102"/>
      <c r="T257" s="102"/>
      <c r="U257" s="913"/>
      <c r="V257" s="114"/>
      <c r="W257" s="805"/>
      <c r="X257" s="805"/>
      <c r="Y257" s="805"/>
      <c r="Z257" s="914"/>
      <c r="AA257" s="102"/>
      <c r="AB257" s="102"/>
      <c r="AC257" s="102"/>
      <c r="AD257" s="102"/>
      <c r="AE257" s="102"/>
      <c r="AF257" s="102"/>
      <c r="AG257" s="102"/>
      <c r="AH257" s="102"/>
      <c r="AI257" s="102"/>
      <c r="AJ257" s="906"/>
      <c r="AK257" s="102"/>
      <c r="AL257" s="915"/>
      <c r="AM257" s="915"/>
      <c r="AN257" s="114"/>
      <c r="AO257" s="64"/>
      <c r="AP257" s="64"/>
      <c r="AQ257" s="64"/>
      <c r="AR257" s="916"/>
      <c r="AS257" s="916"/>
      <c r="AT257" s="916"/>
      <c r="AU257" s="917"/>
      <c r="AV257" s="917"/>
      <c r="AW257" s="917"/>
      <c r="AX257" s="918"/>
      <c r="AY257" s="916"/>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917"/>
      <c r="CA257" s="917"/>
      <c r="CB257" s="64"/>
      <c r="CC257" s="919"/>
      <c r="CD257" s="919"/>
      <c r="CE257" s="64"/>
      <c r="CF257" s="528"/>
      <c r="CG257" s="529"/>
      <c r="CH257" s="64"/>
      <c r="CI257" s="64"/>
      <c r="CJ257" s="64"/>
      <c r="CK257" s="64"/>
      <c r="CL257" s="64"/>
      <c r="CM257" s="64"/>
      <c r="CN257" s="64"/>
      <c r="CO257" s="64"/>
      <c r="CP257" s="64"/>
      <c r="CQ257" s="64"/>
      <c r="CR257" s="64"/>
      <c r="CS257" s="64"/>
      <c r="CT257" s="64"/>
      <c r="CU257" s="64"/>
      <c r="CV257" s="64"/>
      <c r="CW257" s="64"/>
      <c r="CX257" s="64"/>
      <c r="CY257" s="1011"/>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c r="FC257" s="64"/>
      <c r="FD257" s="64"/>
      <c r="FE257" s="64"/>
      <c r="FF257" s="64"/>
      <c r="FG257" s="64"/>
      <c r="FH257" s="64"/>
      <c r="FI257" s="64"/>
      <c r="FJ257" s="64"/>
      <c r="FK257" s="64"/>
      <c r="FL257" s="64"/>
      <c r="FM257" s="64"/>
      <c r="FN257" s="64"/>
      <c r="FO257" s="64"/>
      <c r="FP257" s="64"/>
      <c r="FQ257" s="64"/>
      <c r="FR257" s="64"/>
      <c r="FS257" s="64"/>
      <c r="FT257" s="64"/>
      <c r="FU257" s="64"/>
      <c r="FV257" s="64"/>
      <c r="FW257" s="64"/>
      <c r="FX257" s="64"/>
      <c r="FY257" s="64"/>
      <c r="FZ257" s="64"/>
      <c r="GA257" s="64"/>
      <c r="GB257" s="64"/>
      <c r="GC257" s="64"/>
      <c r="GD257" s="64"/>
      <c r="GE257" s="64"/>
      <c r="GF257" s="64"/>
      <c r="GG257" s="64"/>
      <c r="GH257" s="64"/>
      <c r="GI257" s="64"/>
      <c r="GJ257" s="64"/>
      <c r="GK257" s="64"/>
      <c r="GL257" s="64"/>
      <c r="GM257" s="64"/>
      <c r="GN257" s="64"/>
      <c r="GO257" s="64"/>
      <c r="GP257" s="64"/>
      <c r="GQ257" s="64"/>
      <c r="GR257" s="64"/>
      <c r="GS257" s="64"/>
      <c r="GT257" s="64"/>
      <c r="GU257" s="64"/>
      <c r="GV257" s="64"/>
      <c r="GW257" s="64"/>
      <c r="GX257" s="64"/>
      <c r="GY257" s="64"/>
      <c r="GZ257" s="64"/>
      <c r="HA257" s="64"/>
      <c r="HB257" s="64"/>
      <c r="HC257" s="64"/>
      <c r="HD257" s="64"/>
      <c r="HE257" s="64"/>
      <c r="HF257" s="64"/>
      <c r="HG257" s="64"/>
      <c r="HH257" s="64"/>
      <c r="HI257" s="64"/>
      <c r="HJ257" s="64"/>
      <c r="HK257" s="64"/>
      <c r="HL257" s="64"/>
      <c r="HM257" s="64"/>
      <c r="HN257" s="64"/>
      <c r="HO257" s="64"/>
      <c r="HP257" s="64"/>
      <c r="HQ257" s="64"/>
      <c r="HR257" s="64"/>
      <c r="HS257" s="64"/>
      <c r="HT257" s="64"/>
      <c r="HU257" s="64"/>
      <c r="HV257" s="64"/>
      <c r="HW257" s="64"/>
      <c r="HX257" s="64"/>
      <c r="HY257" s="64"/>
      <c r="HZ257" s="64"/>
      <c r="IA257" s="64"/>
      <c r="IB257" s="64"/>
      <c r="IC257" s="64"/>
      <c r="ID257" s="64"/>
      <c r="IE257" s="64"/>
      <c r="IF257" s="64"/>
      <c r="IG257" s="64"/>
      <c r="IH257" s="64"/>
      <c r="II257" s="64"/>
      <c r="IJ257" s="64"/>
      <c r="IK257" s="64"/>
      <c r="IL257" s="64"/>
      <c r="IM257" s="64"/>
      <c r="IN257" s="64"/>
      <c r="IO257" s="64"/>
      <c r="IP257" s="64"/>
      <c r="IQ257" s="64"/>
      <c r="IR257" s="64"/>
      <c r="IS257" s="64"/>
      <c r="IT257" s="64"/>
      <c r="IU257" s="64"/>
      <c r="IV257" s="64"/>
      <c r="IW257" s="64"/>
      <c r="IX257" s="64"/>
      <c r="IY257" s="64"/>
      <c r="IZ257" s="64"/>
      <c r="JA257" s="64"/>
      <c r="JB257" s="64"/>
      <c r="JC257" s="64"/>
      <c r="JD257" s="64"/>
      <c r="JE257" s="64"/>
      <c r="JF257" s="64"/>
      <c r="JG257" s="64"/>
      <c r="JH257" s="64"/>
      <c r="JI257" s="64"/>
    </row>
    <row r="258" spans="1:269" s="920" customFormat="1" x14ac:dyDescent="0.2">
      <c r="A258" s="116"/>
      <c r="B258" s="64"/>
      <c r="C258" s="64"/>
      <c r="D258" s="64"/>
      <c r="E258" s="64"/>
      <c r="F258" s="64"/>
      <c r="G258" s="64"/>
      <c r="H258" s="64"/>
      <c r="I258" s="64"/>
      <c r="J258" s="116"/>
      <c r="K258" s="116"/>
      <c r="L258" s="116"/>
      <c r="M258" s="116"/>
      <c r="N258" s="116"/>
      <c r="O258" s="116"/>
      <c r="P258" s="116"/>
      <c r="Q258" s="102"/>
      <c r="R258" s="102"/>
      <c r="S258" s="102"/>
      <c r="T258" s="102"/>
      <c r="U258" s="913"/>
      <c r="V258" s="114"/>
      <c r="W258" s="805"/>
      <c r="X258" s="805"/>
      <c r="Y258" s="805"/>
      <c r="Z258" s="914"/>
      <c r="AA258" s="102"/>
      <c r="AB258" s="102"/>
      <c r="AC258" s="102"/>
      <c r="AD258" s="102"/>
      <c r="AE258" s="102"/>
      <c r="AF258" s="102"/>
      <c r="AG258" s="102"/>
      <c r="AH258" s="102"/>
      <c r="AI258" s="102"/>
      <c r="AJ258" s="906"/>
      <c r="AK258" s="102"/>
      <c r="AL258" s="915"/>
      <c r="AM258" s="915"/>
      <c r="AN258" s="114"/>
      <c r="AO258" s="64"/>
      <c r="AP258" s="64"/>
      <c r="AQ258" s="64"/>
      <c r="AR258" s="916"/>
      <c r="AS258" s="916"/>
      <c r="AT258" s="916"/>
      <c r="AU258" s="917"/>
      <c r="AV258" s="917"/>
      <c r="AW258" s="917"/>
      <c r="AX258" s="918"/>
      <c r="AY258" s="916"/>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917"/>
      <c r="CA258" s="917"/>
      <c r="CB258" s="64"/>
      <c r="CC258" s="919"/>
      <c r="CD258" s="919"/>
      <c r="CE258" s="64"/>
      <c r="CF258" s="528"/>
      <c r="CG258" s="529"/>
      <c r="CH258" s="64"/>
      <c r="CI258" s="64"/>
      <c r="CJ258" s="64"/>
      <c r="CK258" s="64"/>
      <c r="CL258" s="64"/>
      <c r="CM258" s="64"/>
      <c r="CN258" s="64"/>
      <c r="CO258" s="64"/>
      <c r="CP258" s="64"/>
      <c r="CQ258" s="64"/>
      <c r="CR258" s="64"/>
      <c r="CS258" s="64"/>
      <c r="CT258" s="64"/>
      <c r="CU258" s="64"/>
      <c r="CV258" s="64"/>
      <c r="CW258" s="64"/>
      <c r="CX258" s="64"/>
      <c r="CY258" s="1011"/>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c r="FC258" s="64"/>
      <c r="FD258" s="64"/>
      <c r="FE258" s="64"/>
      <c r="FF258" s="64"/>
      <c r="FG258" s="64"/>
      <c r="FH258" s="64"/>
      <c r="FI258" s="64"/>
      <c r="FJ258" s="64"/>
      <c r="FK258" s="64"/>
      <c r="FL258" s="64"/>
      <c r="FM258" s="64"/>
      <c r="FN258" s="64"/>
      <c r="FO258" s="64"/>
      <c r="FP258" s="64"/>
      <c r="FQ258" s="64"/>
      <c r="FR258" s="64"/>
      <c r="FS258" s="64"/>
      <c r="FT258" s="64"/>
      <c r="FU258" s="64"/>
      <c r="FV258" s="64"/>
      <c r="FW258" s="64"/>
      <c r="FX258" s="64"/>
      <c r="FY258" s="64"/>
      <c r="FZ258" s="64"/>
      <c r="GA258" s="64"/>
      <c r="GB258" s="64"/>
      <c r="GC258" s="64"/>
      <c r="GD258" s="64"/>
      <c r="GE258" s="64"/>
      <c r="GF258" s="64"/>
      <c r="GG258" s="64"/>
      <c r="GH258" s="64"/>
      <c r="GI258" s="64"/>
      <c r="GJ258" s="64"/>
      <c r="GK258" s="64"/>
      <c r="GL258" s="64"/>
      <c r="GM258" s="64"/>
      <c r="GN258" s="64"/>
      <c r="GO258" s="64"/>
      <c r="GP258" s="64"/>
      <c r="GQ258" s="64"/>
      <c r="GR258" s="64"/>
      <c r="GS258" s="64"/>
      <c r="GT258" s="64"/>
      <c r="GU258" s="64"/>
      <c r="GV258" s="64"/>
      <c r="GW258" s="64"/>
      <c r="GX258" s="64"/>
      <c r="GY258" s="64"/>
      <c r="GZ258" s="64"/>
      <c r="HA258" s="64"/>
      <c r="HB258" s="64"/>
      <c r="HC258" s="64"/>
      <c r="HD258" s="64"/>
      <c r="HE258" s="64"/>
      <c r="HF258" s="64"/>
      <c r="HG258" s="64"/>
      <c r="HH258" s="64"/>
      <c r="HI258" s="64"/>
      <c r="HJ258" s="64"/>
      <c r="HK258" s="64"/>
      <c r="HL258" s="64"/>
      <c r="HM258" s="64"/>
      <c r="HN258" s="64"/>
      <c r="HO258" s="64"/>
      <c r="HP258" s="64"/>
      <c r="HQ258" s="64"/>
      <c r="HR258" s="64"/>
      <c r="HS258" s="64"/>
      <c r="HT258" s="64"/>
      <c r="HU258" s="64"/>
      <c r="HV258" s="64"/>
      <c r="HW258" s="64"/>
      <c r="HX258" s="64"/>
      <c r="HY258" s="64"/>
      <c r="HZ258" s="64"/>
      <c r="IA258" s="64"/>
      <c r="IB258" s="64"/>
      <c r="IC258" s="64"/>
      <c r="ID258" s="64"/>
      <c r="IE258" s="64"/>
      <c r="IF258" s="64"/>
      <c r="IG258" s="64"/>
      <c r="IH258" s="64"/>
      <c r="II258" s="64"/>
      <c r="IJ258" s="64"/>
      <c r="IK258" s="64"/>
      <c r="IL258" s="64"/>
      <c r="IM258" s="64"/>
      <c r="IN258" s="64"/>
      <c r="IO258" s="64"/>
      <c r="IP258" s="64"/>
      <c r="IQ258" s="64"/>
      <c r="IR258" s="64"/>
      <c r="IS258" s="64"/>
      <c r="IT258" s="64"/>
      <c r="IU258" s="64"/>
      <c r="IV258" s="64"/>
      <c r="IW258" s="64"/>
      <c r="IX258" s="64"/>
      <c r="IY258" s="64"/>
      <c r="IZ258" s="64"/>
      <c r="JA258" s="64"/>
      <c r="JB258" s="64"/>
      <c r="JC258" s="64"/>
      <c r="JD258" s="64"/>
      <c r="JE258" s="64"/>
      <c r="JF258" s="64"/>
      <c r="JG258" s="64"/>
      <c r="JH258" s="64"/>
      <c r="JI258" s="64"/>
    </row>
    <row r="259" spans="1:269" s="920" customFormat="1" x14ac:dyDescent="0.2">
      <c r="A259" s="116"/>
      <c r="B259" s="64"/>
      <c r="C259" s="64"/>
      <c r="D259" s="64"/>
      <c r="E259" s="64"/>
      <c r="F259" s="64"/>
      <c r="G259" s="64"/>
      <c r="H259" s="64"/>
      <c r="I259" s="64"/>
      <c r="J259" s="116"/>
      <c r="K259" s="116"/>
      <c r="L259" s="116"/>
      <c r="M259" s="116"/>
      <c r="N259" s="116"/>
      <c r="O259" s="116"/>
      <c r="P259" s="116"/>
      <c r="Q259" s="102"/>
      <c r="R259" s="102"/>
      <c r="S259" s="102"/>
      <c r="T259" s="102"/>
      <c r="U259" s="913"/>
      <c r="V259" s="114"/>
      <c r="W259" s="805"/>
      <c r="X259" s="805"/>
      <c r="Y259" s="805"/>
      <c r="Z259" s="914"/>
      <c r="AA259" s="102"/>
      <c r="AB259" s="102"/>
      <c r="AC259" s="102"/>
      <c r="AD259" s="102"/>
      <c r="AE259" s="102"/>
      <c r="AF259" s="102"/>
      <c r="AG259" s="102"/>
      <c r="AH259" s="102"/>
      <c r="AI259" s="102"/>
      <c r="AJ259" s="906"/>
      <c r="AK259" s="102"/>
      <c r="AL259" s="915"/>
      <c r="AM259" s="915"/>
      <c r="AN259" s="114"/>
      <c r="AO259" s="64"/>
      <c r="AP259" s="64"/>
      <c r="AQ259" s="64"/>
      <c r="AR259" s="916"/>
      <c r="AS259" s="916"/>
      <c r="AT259" s="916"/>
      <c r="AU259" s="917"/>
      <c r="AV259" s="917"/>
      <c r="AW259" s="917"/>
      <c r="AX259" s="918"/>
      <c r="AY259" s="916"/>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917"/>
      <c r="CA259" s="917"/>
      <c r="CB259" s="64"/>
      <c r="CC259" s="919"/>
      <c r="CD259" s="919"/>
      <c r="CE259" s="64"/>
      <c r="CF259" s="528"/>
      <c r="CG259" s="529"/>
      <c r="CH259" s="64"/>
      <c r="CI259" s="64"/>
      <c r="CJ259" s="64"/>
      <c r="CK259" s="64"/>
      <c r="CL259" s="64"/>
      <c r="CM259" s="64"/>
      <c r="CN259" s="64"/>
      <c r="CO259" s="64"/>
      <c r="CP259" s="64"/>
      <c r="CQ259" s="64"/>
      <c r="CR259" s="64"/>
      <c r="CS259" s="64"/>
      <c r="CT259" s="64"/>
      <c r="CU259" s="64"/>
      <c r="CV259" s="64"/>
      <c r="CW259" s="64"/>
      <c r="CX259" s="64"/>
      <c r="CY259" s="1011"/>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c r="FC259" s="64"/>
      <c r="FD259" s="64"/>
      <c r="FE259" s="64"/>
      <c r="FF259" s="64"/>
      <c r="FG259" s="64"/>
      <c r="FH259" s="64"/>
      <c r="FI259" s="64"/>
      <c r="FJ259" s="64"/>
      <c r="FK259" s="64"/>
      <c r="FL259" s="64"/>
      <c r="FM259" s="64"/>
      <c r="FN259" s="64"/>
      <c r="FO259" s="64"/>
      <c r="FP259" s="64"/>
      <c r="FQ259" s="64"/>
      <c r="FR259" s="64"/>
      <c r="FS259" s="64"/>
      <c r="FT259" s="64"/>
      <c r="FU259" s="64"/>
      <c r="FV259" s="64"/>
      <c r="FW259" s="64"/>
      <c r="FX259" s="64"/>
      <c r="FY259" s="64"/>
      <c r="FZ259" s="64"/>
      <c r="GA259" s="64"/>
      <c r="GB259" s="64"/>
      <c r="GC259" s="64"/>
      <c r="GD259" s="64"/>
      <c r="GE259" s="64"/>
      <c r="GF259" s="64"/>
      <c r="GG259" s="64"/>
      <c r="GH259" s="64"/>
      <c r="GI259" s="64"/>
      <c r="GJ259" s="64"/>
      <c r="GK259" s="64"/>
      <c r="GL259" s="64"/>
      <c r="GM259" s="64"/>
      <c r="GN259" s="64"/>
      <c r="GO259" s="64"/>
      <c r="GP259" s="64"/>
      <c r="GQ259" s="64"/>
      <c r="GR259" s="64"/>
      <c r="GS259" s="64"/>
      <c r="GT259" s="64"/>
      <c r="GU259" s="64"/>
      <c r="GV259" s="64"/>
      <c r="GW259" s="64"/>
      <c r="GX259" s="64"/>
      <c r="GY259" s="64"/>
      <c r="GZ259" s="64"/>
      <c r="HA259" s="64"/>
      <c r="HB259" s="64"/>
      <c r="HC259" s="64"/>
      <c r="HD259" s="64"/>
      <c r="HE259" s="64"/>
      <c r="HF259" s="64"/>
      <c r="HG259" s="64"/>
      <c r="HH259" s="64"/>
      <c r="HI259" s="64"/>
      <c r="HJ259" s="64"/>
      <c r="HK259" s="64"/>
      <c r="HL259" s="64"/>
      <c r="HM259" s="64"/>
      <c r="HN259" s="64"/>
      <c r="HO259" s="64"/>
      <c r="HP259" s="64"/>
      <c r="HQ259" s="64"/>
      <c r="HR259" s="64"/>
      <c r="HS259" s="64"/>
      <c r="HT259" s="64"/>
      <c r="HU259" s="64"/>
      <c r="HV259" s="64"/>
      <c r="HW259" s="64"/>
      <c r="HX259" s="64"/>
      <c r="HY259" s="64"/>
      <c r="HZ259" s="64"/>
      <c r="IA259" s="64"/>
      <c r="IB259" s="64"/>
      <c r="IC259" s="64"/>
      <c r="ID259" s="64"/>
      <c r="IE259" s="64"/>
      <c r="IF259" s="64"/>
      <c r="IG259" s="64"/>
      <c r="IH259" s="64"/>
      <c r="II259" s="64"/>
      <c r="IJ259" s="64"/>
      <c r="IK259" s="64"/>
      <c r="IL259" s="64"/>
      <c r="IM259" s="64"/>
      <c r="IN259" s="64"/>
      <c r="IO259" s="64"/>
      <c r="IP259" s="64"/>
      <c r="IQ259" s="64"/>
      <c r="IR259" s="64"/>
      <c r="IS259" s="64"/>
      <c r="IT259" s="64"/>
      <c r="IU259" s="64"/>
      <c r="IV259" s="64"/>
      <c r="IW259" s="64"/>
      <c r="IX259" s="64"/>
      <c r="IY259" s="64"/>
      <c r="IZ259" s="64"/>
      <c r="JA259" s="64"/>
      <c r="JB259" s="64"/>
      <c r="JC259" s="64"/>
      <c r="JD259" s="64"/>
      <c r="JE259" s="64"/>
      <c r="JF259" s="64"/>
      <c r="JG259" s="64"/>
      <c r="JH259" s="64"/>
      <c r="JI259" s="64"/>
    </row>
    <row r="260" spans="1:269" s="920" customFormat="1" x14ac:dyDescent="0.2">
      <c r="A260" s="116"/>
      <c r="B260" s="64"/>
      <c r="C260" s="64"/>
      <c r="D260" s="64"/>
      <c r="E260" s="64"/>
      <c r="F260" s="64"/>
      <c r="G260" s="64"/>
      <c r="H260" s="64"/>
      <c r="I260" s="64"/>
      <c r="J260" s="116"/>
      <c r="K260" s="116"/>
      <c r="L260" s="116"/>
      <c r="M260" s="116"/>
      <c r="N260" s="116"/>
      <c r="O260" s="116"/>
      <c r="P260" s="116"/>
      <c r="Q260" s="102"/>
      <c r="R260" s="102"/>
      <c r="S260" s="102"/>
      <c r="T260" s="102"/>
      <c r="U260" s="913"/>
      <c r="V260" s="114"/>
      <c r="W260" s="805"/>
      <c r="X260" s="805"/>
      <c r="Y260" s="805"/>
      <c r="Z260" s="914"/>
      <c r="AA260" s="102"/>
      <c r="AB260" s="102"/>
      <c r="AC260" s="102"/>
      <c r="AD260" s="102"/>
      <c r="AE260" s="102"/>
      <c r="AF260" s="102"/>
      <c r="AG260" s="102"/>
      <c r="AH260" s="102"/>
      <c r="AI260" s="102"/>
      <c r="AJ260" s="906"/>
      <c r="AK260" s="102"/>
      <c r="AL260" s="915"/>
      <c r="AM260" s="915"/>
      <c r="AN260" s="114"/>
      <c r="AO260" s="64"/>
      <c r="AP260" s="64"/>
      <c r="AQ260" s="64"/>
      <c r="AR260" s="916"/>
      <c r="AS260" s="916"/>
      <c r="AT260" s="916"/>
      <c r="AU260" s="917"/>
      <c r="AV260" s="917"/>
      <c r="AW260" s="917"/>
      <c r="AX260" s="918"/>
      <c r="AY260" s="916"/>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917"/>
      <c r="CA260" s="917"/>
      <c r="CB260" s="64"/>
      <c r="CC260" s="919"/>
      <c r="CD260" s="919"/>
      <c r="CE260" s="64"/>
      <c r="CF260" s="528"/>
      <c r="CG260" s="529"/>
      <c r="CH260" s="64"/>
      <c r="CI260" s="64"/>
      <c r="CJ260" s="64"/>
      <c r="CK260" s="64"/>
      <c r="CL260" s="64"/>
      <c r="CM260" s="64"/>
      <c r="CN260" s="64"/>
      <c r="CO260" s="64"/>
      <c r="CP260" s="64"/>
      <c r="CQ260" s="64"/>
      <c r="CR260" s="64"/>
      <c r="CS260" s="64"/>
      <c r="CT260" s="64"/>
      <c r="CU260" s="64"/>
      <c r="CV260" s="64"/>
      <c r="CW260" s="64"/>
      <c r="CX260" s="64"/>
      <c r="CY260" s="1011"/>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c r="FC260" s="64"/>
      <c r="FD260" s="64"/>
      <c r="FE260" s="64"/>
      <c r="FF260" s="64"/>
      <c r="FG260" s="64"/>
      <c r="FH260" s="64"/>
      <c r="FI260" s="64"/>
      <c r="FJ260" s="64"/>
      <c r="FK260" s="64"/>
      <c r="FL260" s="64"/>
      <c r="FM260" s="64"/>
      <c r="FN260" s="64"/>
      <c r="FO260" s="64"/>
      <c r="FP260" s="64"/>
      <c r="FQ260" s="64"/>
      <c r="FR260" s="64"/>
      <c r="FS260" s="64"/>
      <c r="FT260" s="64"/>
      <c r="FU260" s="64"/>
      <c r="FV260" s="64"/>
      <c r="FW260" s="64"/>
      <c r="FX260" s="64"/>
      <c r="FY260" s="64"/>
      <c r="FZ260" s="64"/>
      <c r="GA260" s="64"/>
      <c r="GB260" s="64"/>
      <c r="GC260" s="64"/>
      <c r="GD260" s="64"/>
      <c r="GE260" s="64"/>
      <c r="GF260" s="64"/>
      <c r="GG260" s="64"/>
      <c r="GH260" s="64"/>
      <c r="GI260" s="64"/>
      <c r="GJ260" s="64"/>
      <c r="GK260" s="64"/>
      <c r="GL260" s="64"/>
      <c r="GM260" s="64"/>
      <c r="GN260" s="64"/>
      <c r="GO260" s="64"/>
      <c r="GP260" s="64"/>
      <c r="GQ260" s="64"/>
      <c r="GR260" s="64"/>
      <c r="GS260" s="64"/>
      <c r="GT260" s="64"/>
      <c r="GU260" s="64"/>
      <c r="GV260" s="64"/>
      <c r="GW260" s="64"/>
      <c r="GX260" s="64"/>
      <c r="GY260" s="64"/>
      <c r="GZ260" s="64"/>
      <c r="HA260" s="64"/>
      <c r="HB260" s="64"/>
      <c r="HC260" s="64"/>
      <c r="HD260" s="64"/>
      <c r="HE260" s="64"/>
      <c r="HF260" s="64"/>
      <c r="HG260" s="64"/>
      <c r="HH260" s="64"/>
      <c r="HI260" s="64"/>
      <c r="HJ260" s="64"/>
      <c r="HK260" s="64"/>
      <c r="HL260" s="64"/>
      <c r="HM260" s="64"/>
      <c r="HN260" s="64"/>
      <c r="HO260" s="64"/>
      <c r="HP260" s="64"/>
      <c r="HQ260" s="64"/>
      <c r="HR260" s="64"/>
      <c r="HS260" s="64"/>
      <c r="HT260" s="64"/>
      <c r="HU260" s="64"/>
      <c r="HV260" s="64"/>
      <c r="HW260" s="64"/>
      <c r="HX260" s="64"/>
      <c r="HY260" s="64"/>
      <c r="HZ260" s="64"/>
      <c r="IA260" s="64"/>
      <c r="IB260" s="64"/>
      <c r="IC260" s="64"/>
      <c r="ID260" s="64"/>
      <c r="IE260" s="64"/>
      <c r="IF260" s="64"/>
      <c r="IG260" s="64"/>
      <c r="IH260" s="64"/>
      <c r="II260" s="64"/>
      <c r="IJ260" s="64"/>
      <c r="IK260" s="64"/>
      <c r="IL260" s="64"/>
      <c r="IM260" s="64"/>
      <c r="IN260" s="64"/>
      <c r="IO260" s="64"/>
      <c r="IP260" s="64"/>
      <c r="IQ260" s="64"/>
      <c r="IR260" s="64"/>
      <c r="IS260" s="64"/>
      <c r="IT260" s="64"/>
      <c r="IU260" s="64"/>
      <c r="IV260" s="64"/>
      <c r="IW260" s="64"/>
      <c r="IX260" s="64"/>
      <c r="IY260" s="64"/>
      <c r="IZ260" s="64"/>
      <c r="JA260" s="64"/>
      <c r="JB260" s="64"/>
      <c r="JC260" s="64"/>
      <c r="JD260" s="64"/>
      <c r="JE260" s="64"/>
      <c r="JF260" s="64"/>
      <c r="JG260" s="64"/>
      <c r="JH260" s="64"/>
      <c r="JI260" s="64"/>
    </row>
    <row r="261" spans="1:269" s="920" customFormat="1" x14ac:dyDescent="0.2">
      <c r="A261" s="116"/>
      <c r="B261" s="64"/>
      <c r="C261" s="64"/>
      <c r="D261" s="64"/>
      <c r="E261" s="64"/>
      <c r="F261" s="64"/>
      <c r="G261" s="64"/>
      <c r="H261" s="64"/>
      <c r="I261" s="64"/>
      <c r="J261" s="116"/>
      <c r="K261" s="116"/>
      <c r="L261" s="116"/>
      <c r="M261" s="116"/>
      <c r="N261" s="116"/>
      <c r="O261" s="116"/>
      <c r="P261" s="116"/>
      <c r="Q261" s="102"/>
      <c r="R261" s="102"/>
      <c r="S261" s="102"/>
      <c r="T261" s="102"/>
      <c r="U261" s="913"/>
      <c r="V261" s="114"/>
      <c r="W261" s="805"/>
      <c r="X261" s="805"/>
      <c r="Y261" s="805"/>
      <c r="Z261" s="914"/>
      <c r="AA261" s="102"/>
      <c r="AB261" s="102"/>
      <c r="AC261" s="102"/>
      <c r="AD261" s="102"/>
      <c r="AE261" s="102"/>
      <c r="AF261" s="102"/>
      <c r="AG261" s="102"/>
      <c r="AH261" s="102"/>
      <c r="AI261" s="102"/>
      <c r="AJ261" s="906"/>
      <c r="AK261" s="102"/>
      <c r="AL261" s="915"/>
      <c r="AM261" s="915"/>
      <c r="AN261" s="114"/>
      <c r="AO261" s="64"/>
      <c r="AP261" s="64"/>
      <c r="AQ261" s="64"/>
      <c r="AR261" s="916"/>
      <c r="AS261" s="916"/>
      <c r="AT261" s="916"/>
      <c r="AU261" s="917"/>
      <c r="AV261" s="917"/>
      <c r="AW261" s="917"/>
      <c r="AX261" s="918"/>
      <c r="AY261" s="916"/>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917"/>
      <c r="CA261" s="917"/>
      <c r="CB261" s="64"/>
      <c r="CC261" s="919"/>
      <c r="CD261" s="919"/>
      <c r="CE261" s="64"/>
      <c r="CF261" s="528"/>
      <c r="CG261" s="529"/>
      <c r="CH261" s="64"/>
      <c r="CI261" s="64"/>
      <c r="CJ261" s="64"/>
      <c r="CK261" s="64"/>
      <c r="CL261" s="64"/>
      <c r="CM261" s="64"/>
      <c r="CN261" s="64"/>
      <c r="CO261" s="64"/>
      <c r="CP261" s="64"/>
      <c r="CQ261" s="64"/>
      <c r="CR261" s="64"/>
      <c r="CS261" s="64"/>
      <c r="CT261" s="64"/>
      <c r="CU261" s="64"/>
      <c r="CV261" s="64"/>
      <c r="CW261" s="64"/>
      <c r="CX261" s="64"/>
      <c r="CY261" s="1011"/>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c r="FC261" s="64"/>
      <c r="FD261" s="64"/>
      <c r="FE261" s="64"/>
      <c r="FF261" s="64"/>
      <c r="FG261" s="64"/>
      <c r="FH261" s="64"/>
      <c r="FI261" s="64"/>
      <c r="FJ261" s="64"/>
      <c r="FK261" s="64"/>
      <c r="FL261" s="64"/>
      <c r="FM261" s="64"/>
      <c r="FN261" s="64"/>
      <c r="FO261" s="64"/>
      <c r="FP261" s="64"/>
      <c r="FQ261" s="64"/>
      <c r="FR261" s="64"/>
      <c r="FS261" s="64"/>
      <c r="FT261" s="64"/>
      <c r="FU261" s="64"/>
      <c r="FV261" s="64"/>
      <c r="FW261" s="64"/>
      <c r="FX261" s="64"/>
      <c r="FY261" s="64"/>
      <c r="FZ261" s="64"/>
      <c r="GA261" s="64"/>
      <c r="GB261" s="64"/>
      <c r="GC261" s="64"/>
      <c r="GD261" s="64"/>
      <c r="GE261" s="64"/>
      <c r="GF261" s="64"/>
      <c r="GG261" s="64"/>
      <c r="GH261" s="64"/>
      <c r="GI261" s="64"/>
      <c r="GJ261" s="64"/>
      <c r="GK261" s="64"/>
      <c r="GL261" s="64"/>
      <c r="GM261" s="64"/>
      <c r="GN261" s="64"/>
      <c r="GO261" s="64"/>
      <c r="GP261" s="64"/>
      <c r="GQ261" s="64"/>
      <c r="GR261" s="64"/>
      <c r="GS261" s="64"/>
      <c r="GT261" s="64"/>
      <c r="GU261" s="64"/>
      <c r="GV261" s="64"/>
      <c r="GW261" s="64"/>
      <c r="GX261" s="64"/>
      <c r="GY261" s="64"/>
      <c r="GZ261" s="64"/>
      <c r="HA261" s="64"/>
      <c r="HB261" s="64"/>
      <c r="HC261" s="64"/>
      <c r="HD261" s="64"/>
      <c r="HE261" s="64"/>
      <c r="HF261" s="64"/>
      <c r="HG261" s="64"/>
      <c r="HH261" s="64"/>
      <c r="HI261" s="64"/>
      <c r="HJ261" s="64"/>
      <c r="HK261" s="64"/>
      <c r="HL261" s="64"/>
      <c r="HM261" s="64"/>
      <c r="HN261" s="64"/>
      <c r="HO261" s="64"/>
      <c r="HP261" s="64"/>
      <c r="HQ261" s="64"/>
      <c r="HR261" s="64"/>
      <c r="HS261" s="64"/>
      <c r="HT261" s="64"/>
      <c r="HU261" s="64"/>
      <c r="HV261" s="64"/>
      <c r="HW261" s="64"/>
      <c r="HX261" s="64"/>
      <c r="HY261" s="64"/>
      <c r="HZ261" s="64"/>
      <c r="IA261" s="64"/>
      <c r="IB261" s="64"/>
      <c r="IC261" s="64"/>
      <c r="ID261" s="64"/>
      <c r="IE261" s="64"/>
      <c r="IF261" s="64"/>
      <c r="IG261" s="64"/>
      <c r="IH261" s="64"/>
      <c r="II261" s="64"/>
      <c r="IJ261" s="64"/>
      <c r="IK261" s="64"/>
      <c r="IL261" s="64"/>
      <c r="IM261" s="64"/>
      <c r="IN261" s="64"/>
      <c r="IO261" s="64"/>
      <c r="IP261" s="64"/>
      <c r="IQ261" s="64"/>
      <c r="IR261" s="64"/>
      <c r="IS261" s="64"/>
      <c r="IT261" s="64"/>
      <c r="IU261" s="64"/>
      <c r="IV261" s="64"/>
      <c r="IW261" s="64"/>
      <c r="IX261" s="64"/>
      <c r="IY261" s="64"/>
      <c r="IZ261" s="64"/>
      <c r="JA261" s="64"/>
      <c r="JB261" s="64"/>
      <c r="JC261" s="64"/>
      <c r="JD261" s="64"/>
      <c r="JE261" s="64"/>
      <c r="JF261" s="64"/>
      <c r="JG261" s="64"/>
      <c r="JH261" s="64"/>
      <c r="JI261" s="64"/>
    </row>
    <row r="262" spans="1:269" s="920" customFormat="1" x14ac:dyDescent="0.2">
      <c r="A262" s="116"/>
      <c r="B262" s="64"/>
      <c r="C262" s="64"/>
      <c r="D262" s="64"/>
      <c r="E262" s="64"/>
      <c r="F262" s="64"/>
      <c r="G262" s="64"/>
      <c r="H262" s="64"/>
      <c r="I262" s="64"/>
      <c r="J262" s="116"/>
      <c r="K262" s="116"/>
      <c r="L262" s="116"/>
      <c r="M262" s="116"/>
      <c r="N262" s="116"/>
      <c r="O262" s="116"/>
      <c r="P262" s="116"/>
      <c r="Q262" s="102"/>
      <c r="R262" s="102"/>
      <c r="S262" s="102"/>
      <c r="T262" s="102"/>
      <c r="U262" s="913"/>
      <c r="V262" s="114"/>
      <c r="W262" s="805"/>
      <c r="X262" s="805"/>
      <c r="Y262" s="805"/>
      <c r="Z262" s="914"/>
      <c r="AA262" s="102"/>
      <c r="AB262" s="102"/>
      <c r="AC262" s="102"/>
      <c r="AD262" s="102"/>
      <c r="AE262" s="102"/>
      <c r="AF262" s="102"/>
      <c r="AG262" s="102"/>
      <c r="AH262" s="102"/>
      <c r="AI262" s="102"/>
      <c r="AJ262" s="906"/>
      <c r="AK262" s="102"/>
      <c r="AL262" s="915"/>
      <c r="AM262" s="915"/>
      <c r="AN262" s="114"/>
      <c r="AO262" s="64"/>
      <c r="AP262" s="64"/>
      <c r="AQ262" s="64"/>
      <c r="AR262" s="916"/>
      <c r="AS262" s="916"/>
      <c r="AT262" s="916"/>
      <c r="AU262" s="917"/>
      <c r="AV262" s="917"/>
      <c r="AW262" s="917"/>
      <c r="AX262" s="918"/>
      <c r="AY262" s="916"/>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917"/>
      <c r="CA262" s="917"/>
      <c r="CB262" s="64"/>
      <c r="CC262" s="919"/>
      <c r="CD262" s="919"/>
      <c r="CE262" s="64"/>
      <c r="CF262" s="528"/>
      <c r="CG262" s="529"/>
      <c r="CH262" s="64"/>
      <c r="CI262" s="64"/>
      <c r="CJ262" s="64"/>
      <c r="CK262" s="64"/>
      <c r="CL262" s="64"/>
      <c r="CM262" s="64"/>
      <c r="CN262" s="64"/>
      <c r="CO262" s="64"/>
      <c r="CP262" s="64"/>
      <c r="CQ262" s="64"/>
      <c r="CR262" s="64"/>
      <c r="CS262" s="64"/>
      <c r="CT262" s="64"/>
      <c r="CU262" s="64"/>
      <c r="CV262" s="64"/>
      <c r="CW262" s="64"/>
      <c r="CX262" s="64"/>
      <c r="CY262" s="1011"/>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c r="FC262" s="64"/>
      <c r="FD262" s="64"/>
      <c r="FE262" s="64"/>
      <c r="FF262" s="64"/>
      <c r="FG262" s="64"/>
      <c r="FH262" s="64"/>
      <c r="FI262" s="64"/>
      <c r="FJ262" s="64"/>
      <c r="FK262" s="64"/>
      <c r="FL262" s="64"/>
      <c r="FM262" s="64"/>
      <c r="FN262" s="64"/>
      <c r="FO262" s="64"/>
      <c r="FP262" s="64"/>
      <c r="FQ262" s="64"/>
      <c r="FR262" s="64"/>
      <c r="FS262" s="64"/>
      <c r="FT262" s="64"/>
      <c r="FU262" s="64"/>
      <c r="FV262" s="64"/>
      <c r="FW262" s="64"/>
      <c r="FX262" s="64"/>
      <c r="FY262" s="64"/>
      <c r="FZ262" s="64"/>
      <c r="GA262" s="64"/>
      <c r="GB262" s="64"/>
      <c r="GC262" s="64"/>
      <c r="GD262" s="64"/>
      <c r="GE262" s="64"/>
      <c r="GF262" s="64"/>
      <c r="GG262" s="64"/>
      <c r="GH262" s="64"/>
      <c r="GI262" s="64"/>
      <c r="GJ262" s="64"/>
      <c r="GK262" s="64"/>
      <c r="GL262" s="64"/>
      <c r="GM262" s="64"/>
      <c r="GN262" s="64"/>
      <c r="GO262" s="64"/>
      <c r="GP262" s="64"/>
      <c r="GQ262" s="64"/>
      <c r="GR262" s="64"/>
      <c r="GS262" s="64"/>
      <c r="GT262" s="64"/>
      <c r="GU262" s="64"/>
      <c r="GV262" s="64"/>
      <c r="GW262" s="64"/>
      <c r="GX262" s="64"/>
      <c r="GY262" s="64"/>
      <c r="GZ262" s="64"/>
      <c r="HA262" s="64"/>
      <c r="HB262" s="64"/>
      <c r="HC262" s="64"/>
      <c r="HD262" s="64"/>
      <c r="HE262" s="64"/>
      <c r="HF262" s="64"/>
      <c r="HG262" s="64"/>
      <c r="HH262" s="64"/>
      <c r="HI262" s="64"/>
      <c r="HJ262" s="64"/>
      <c r="HK262" s="64"/>
      <c r="HL262" s="64"/>
      <c r="HM262" s="64"/>
      <c r="HN262" s="64"/>
      <c r="HO262" s="64"/>
      <c r="HP262" s="64"/>
      <c r="HQ262" s="64"/>
      <c r="HR262" s="64"/>
      <c r="HS262" s="64"/>
      <c r="HT262" s="64"/>
      <c r="HU262" s="64"/>
      <c r="HV262" s="64"/>
      <c r="HW262" s="64"/>
      <c r="HX262" s="64"/>
      <c r="HY262" s="64"/>
      <c r="HZ262" s="64"/>
      <c r="IA262" s="64"/>
      <c r="IB262" s="64"/>
      <c r="IC262" s="64"/>
      <c r="ID262" s="64"/>
      <c r="IE262" s="64"/>
      <c r="IF262" s="64"/>
      <c r="IG262" s="64"/>
      <c r="IH262" s="64"/>
      <c r="II262" s="64"/>
      <c r="IJ262" s="64"/>
      <c r="IK262" s="64"/>
      <c r="IL262" s="64"/>
      <c r="IM262" s="64"/>
      <c r="IN262" s="64"/>
      <c r="IO262" s="64"/>
      <c r="IP262" s="64"/>
      <c r="IQ262" s="64"/>
      <c r="IR262" s="64"/>
      <c r="IS262" s="64"/>
      <c r="IT262" s="64"/>
      <c r="IU262" s="64"/>
      <c r="IV262" s="64"/>
      <c r="IW262" s="64"/>
      <c r="IX262" s="64"/>
      <c r="IY262" s="64"/>
      <c r="IZ262" s="64"/>
      <c r="JA262" s="64"/>
      <c r="JB262" s="64"/>
      <c r="JC262" s="64"/>
      <c r="JD262" s="64"/>
      <c r="JE262" s="64"/>
      <c r="JF262" s="64"/>
      <c r="JG262" s="64"/>
      <c r="JH262" s="64"/>
      <c r="JI262" s="64"/>
    </row>
    <row r="263" spans="1:269" s="920" customFormat="1" x14ac:dyDescent="0.2">
      <c r="A263" s="116"/>
      <c r="B263" s="64"/>
      <c r="C263" s="64"/>
      <c r="D263" s="64"/>
      <c r="E263" s="64"/>
      <c r="F263" s="64"/>
      <c r="G263" s="64"/>
      <c r="H263" s="64"/>
      <c r="I263" s="64"/>
      <c r="J263" s="116"/>
      <c r="K263" s="116"/>
      <c r="L263" s="116"/>
      <c r="M263" s="116"/>
      <c r="N263" s="116"/>
      <c r="O263" s="116"/>
      <c r="P263" s="116"/>
      <c r="Q263" s="102"/>
      <c r="R263" s="102"/>
      <c r="S263" s="102"/>
      <c r="T263" s="102"/>
      <c r="U263" s="913"/>
      <c r="V263" s="114"/>
      <c r="W263" s="805"/>
      <c r="X263" s="805"/>
      <c r="Y263" s="805"/>
      <c r="Z263" s="914"/>
      <c r="AA263" s="102"/>
      <c r="AB263" s="102"/>
      <c r="AC263" s="102"/>
      <c r="AD263" s="102"/>
      <c r="AE263" s="102"/>
      <c r="AF263" s="102"/>
      <c r="AG263" s="102"/>
      <c r="AH263" s="102"/>
      <c r="AI263" s="102"/>
      <c r="AJ263" s="906"/>
      <c r="AK263" s="102"/>
      <c r="AL263" s="915"/>
      <c r="AM263" s="915"/>
      <c r="AN263" s="114"/>
      <c r="AO263" s="64"/>
      <c r="AP263" s="64"/>
      <c r="AQ263" s="64"/>
      <c r="AR263" s="916"/>
      <c r="AS263" s="916"/>
      <c r="AT263" s="916"/>
      <c r="AU263" s="917"/>
      <c r="AV263" s="917"/>
      <c r="AW263" s="917"/>
      <c r="AX263" s="918"/>
      <c r="AY263" s="916"/>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917"/>
      <c r="CA263" s="917"/>
      <c r="CB263" s="64"/>
      <c r="CC263" s="919"/>
      <c r="CD263" s="919"/>
      <c r="CE263" s="64"/>
      <c r="CF263" s="528"/>
      <c r="CG263" s="529"/>
      <c r="CH263" s="64"/>
      <c r="CI263" s="64"/>
      <c r="CJ263" s="64"/>
      <c r="CK263" s="64"/>
      <c r="CL263" s="64"/>
      <c r="CM263" s="64"/>
      <c r="CN263" s="64"/>
      <c r="CO263" s="64"/>
      <c r="CP263" s="64"/>
      <c r="CQ263" s="64"/>
      <c r="CR263" s="64"/>
      <c r="CS263" s="64"/>
      <c r="CT263" s="64"/>
      <c r="CU263" s="64"/>
      <c r="CV263" s="64"/>
      <c r="CW263" s="64"/>
      <c r="CX263" s="64"/>
      <c r="CY263" s="1011"/>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c r="FC263" s="64"/>
      <c r="FD263" s="64"/>
      <c r="FE263" s="64"/>
      <c r="FF263" s="64"/>
      <c r="FG263" s="64"/>
      <c r="FH263" s="64"/>
      <c r="FI263" s="64"/>
      <c r="FJ263" s="64"/>
      <c r="FK263" s="64"/>
      <c r="FL263" s="64"/>
      <c r="FM263" s="64"/>
      <c r="FN263" s="64"/>
      <c r="FO263" s="64"/>
      <c r="FP263" s="64"/>
      <c r="FQ263" s="64"/>
      <c r="FR263" s="64"/>
      <c r="FS263" s="64"/>
      <c r="FT263" s="64"/>
      <c r="FU263" s="64"/>
      <c r="FV263" s="64"/>
      <c r="FW263" s="64"/>
      <c r="FX263" s="64"/>
      <c r="FY263" s="64"/>
      <c r="FZ263" s="64"/>
      <c r="GA263" s="64"/>
      <c r="GB263" s="64"/>
      <c r="GC263" s="64"/>
      <c r="GD263" s="64"/>
      <c r="GE263" s="64"/>
      <c r="GF263" s="64"/>
      <c r="GG263" s="64"/>
      <c r="GH263" s="64"/>
      <c r="GI263" s="64"/>
      <c r="GJ263" s="64"/>
      <c r="GK263" s="64"/>
      <c r="GL263" s="64"/>
      <c r="GM263" s="64"/>
      <c r="GN263" s="64"/>
      <c r="GO263" s="64"/>
      <c r="GP263" s="64"/>
      <c r="GQ263" s="64"/>
      <c r="GR263" s="64"/>
      <c r="GS263" s="64"/>
      <c r="GT263" s="64"/>
      <c r="GU263" s="64"/>
      <c r="GV263" s="64"/>
      <c r="GW263" s="64"/>
      <c r="GX263" s="64"/>
      <c r="GY263" s="64"/>
      <c r="GZ263" s="64"/>
      <c r="HA263" s="64"/>
      <c r="HB263" s="64"/>
      <c r="HC263" s="64"/>
      <c r="HD263" s="64"/>
      <c r="HE263" s="64"/>
      <c r="HF263" s="64"/>
      <c r="HG263" s="64"/>
      <c r="HH263" s="64"/>
      <c r="HI263" s="64"/>
      <c r="HJ263" s="64"/>
      <c r="HK263" s="64"/>
      <c r="HL263" s="64"/>
      <c r="HM263" s="64"/>
      <c r="HN263" s="64"/>
      <c r="HO263" s="64"/>
      <c r="HP263" s="64"/>
      <c r="HQ263" s="64"/>
      <c r="HR263" s="64"/>
      <c r="HS263" s="64"/>
      <c r="HT263" s="64"/>
      <c r="HU263" s="64"/>
      <c r="HV263" s="64"/>
      <c r="HW263" s="64"/>
      <c r="HX263" s="64"/>
      <c r="HY263" s="64"/>
      <c r="HZ263" s="64"/>
      <c r="IA263" s="64"/>
      <c r="IB263" s="64"/>
      <c r="IC263" s="64"/>
      <c r="ID263" s="64"/>
      <c r="IE263" s="64"/>
      <c r="IF263" s="64"/>
      <c r="IG263" s="64"/>
      <c r="IH263" s="64"/>
      <c r="II263" s="64"/>
      <c r="IJ263" s="64"/>
      <c r="IK263" s="64"/>
      <c r="IL263" s="64"/>
      <c r="IM263" s="64"/>
      <c r="IN263" s="64"/>
      <c r="IO263" s="64"/>
      <c r="IP263" s="64"/>
      <c r="IQ263" s="64"/>
      <c r="IR263" s="64"/>
      <c r="IS263" s="64"/>
      <c r="IT263" s="64"/>
      <c r="IU263" s="64"/>
      <c r="IV263" s="64"/>
      <c r="IW263" s="64"/>
      <c r="IX263" s="64"/>
      <c r="IY263" s="64"/>
      <c r="IZ263" s="64"/>
      <c r="JA263" s="64"/>
      <c r="JB263" s="64"/>
      <c r="JC263" s="64"/>
      <c r="JD263" s="64"/>
      <c r="JE263" s="64"/>
      <c r="JF263" s="64"/>
      <c r="JG263" s="64"/>
      <c r="JH263" s="64"/>
      <c r="JI263" s="64"/>
    </row>
    <row r="264" spans="1:269" s="920" customFormat="1" x14ac:dyDescent="0.2">
      <c r="A264" s="116"/>
      <c r="B264" s="64"/>
      <c r="C264" s="64"/>
      <c r="D264" s="64"/>
      <c r="E264" s="64"/>
      <c r="F264" s="64"/>
      <c r="G264" s="64"/>
      <c r="H264" s="64"/>
      <c r="I264" s="64"/>
      <c r="J264" s="116"/>
      <c r="K264" s="116"/>
      <c r="L264" s="116"/>
      <c r="M264" s="116"/>
      <c r="N264" s="116"/>
      <c r="O264" s="116"/>
      <c r="P264" s="116"/>
      <c r="Q264" s="102"/>
      <c r="R264" s="102"/>
      <c r="S264" s="102"/>
      <c r="T264" s="102"/>
      <c r="U264" s="913"/>
      <c r="V264" s="114"/>
      <c r="W264" s="805"/>
      <c r="X264" s="805"/>
      <c r="Y264" s="805"/>
      <c r="Z264" s="914"/>
      <c r="AA264" s="102"/>
      <c r="AB264" s="102"/>
      <c r="AC264" s="102"/>
      <c r="AD264" s="102"/>
      <c r="AE264" s="102"/>
      <c r="AF264" s="102"/>
      <c r="AG264" s="102"/>
      <c r="AH264" s="102"/>
      <c r="AI264" s="102"/>
      <c r="AJ264" s="906"/>
      <c r="AK264" s="102"/>
      <c r="AL264" s="915"/>
      <c r="AM264" s="915"/>
      <c r="AN264" s="114"/>
      <c r="AO264" s="64"/>
      <c r="AP264" s="64"/>
      <c r="AQ264" s="64"/>
      <c r="AR264" s="916"/>
      <c r="AS264" s="916"/>
      <c r="AT264" s="916"/>
      <c r="AU264" s="917"/>
      <c r="AV264" s="917"/>
      <c r="AW264" s="917"/>
      <c r="AX264" s="918"/>
      <c r="AY264" s="916"/>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917"/>
      <c r="CA264" s="917"/>
      <c r="CB264" s="64"/>
      <c r="CC264" s="919"/>
      <c r="CD264" s="919"/>
      <c r="CE264" s="64"/>
      <c r="CF264" s="528"/>
      <c r="CG264" s="529"/>
      <c r="CH264" s="64"/>
      <c r="CI264" s="64"/>
      <c r="CJ264" s="64"/>
      <c r="CK264" s="64"/>
      <c r="CL264" s="64"/>
      <c r="CM264" s="64"/>
      <c r="CN264" s="64"/>
      <c r="CO264" s="64"/>
      <c r="CP264" s="64"/>
      <c r="CQ264" s="64"/>
      <c r="CR264" s="64"/>
      <c r="CS264" s="64"/>
      <c r="CT264" s="64"/>
      <c r="CU264" s="64"/>
      <c r="CV264" s="64"/>
      <c r="CW264" s="64"/>
      <c r="CX264" s="64"/>
      <c r="CY264" s="1011"/>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c r="FC264" s="64"/>
      <c r="FD264" s="64"/>
      <c r="FE264" s="64"/>
      <c r="FF264" s="64"/>
      <c r="FG264" s="64"/>
      <c r="FH264" s="64"/>
      <c r="FI264" s="64"/>
      <c r="FJ264" s="64"/>
      <c r="FK264" s="64"/>
      <c r="FL264" s="64"/>
      <c r="FM264" s="64"/>
      <c r="FN264" s="64"/>
      <c r="FO264" s="64"/>
      <c r="FP264" s="64"/>
      <c r="FQ264" s="64"/>
      <c r="FR264" s="64"/>
      <c r="FS264" s="64"/>
      <c r="FT264" s="64"/>
      <c r="FU264" s="64"/>
      <c r="FV264" s="64"/>
      <c r="FW264" s="64"/>
      <c r="FX264" s="64"/>
      <c r="FY264" s="64"/>
      <c r="FZ264" s="64"/>
      <c r="GA264" s="64"/>
      <c r="GB264" s="64"/>
      <c r="GC264" s="64"/>
      <c r="GD264" s="64"/>
      <c r="GE264" s="64"/>
      <c r="GF264" s="64"/>
      <c r="GG264" s="64"/>
      <c r="GH264" s="64"/>
      <c r="GI264" s="64"/>
      <c r="GJ264" s="64"/>
      <c r="GK264" s="64"/>
      <c r="GL264" s="64"/>
      <c r="GM264" s="64"/>
      <c r="GN264" s="64"/>
      <c r="GO264" s="64"/>
      <c r="GP264" s="64"/>
      <c r="GQ264" s="64"/>
      <c r="GR264" s="64"/>
      <c r="GS264" s="64"/>
      <c r="GT264" s="64"/>
      <c r="GU264" s="64"/>
      <c r="GV264" s="64"/>
      <c r="GW264" s="64"/>
      <c r="GX264" s="64"/>
      <c r="GY264" s="64"/>
      <c r="GZ264" s="64"/>
      <c r="HA264" s="64"/>
      <c r="HB264" s="64"/>
      <c r="HC264" s="64"/>
      <c r="HD264" s="64"/>
      <c r="HE264" s="64"/>
      <c r="HF264" s="64"/>
      <c r="HG264" s="64"/>
      <c r="HH264" s="64"/>
      <c r="HI264" s="64"/>
      <c r="HJ264" s="64"/>
      <c r="HK264" s="64"/>
      <c r="HL264" s="64"/>
      <c r="HM264" s="64"/>
      <c r="HN264" s="64"/>
      <c r="HO264" s="64"/>
      <c r="HP264" s="64"/>
      <c r="HQ264" s="64"/>
      <c r="HR264" s="64"/>
      <c r="HS264" s="64"/>
      <c r="HT264" s="64"/>
      <c r="HU264" s="64"/>
      <c r="HV264" s="64"/>
      <c r="HW264" s="64"/>
      <c r="HX264" s="64"/>
      <c r="HY264" s="64"/>
      <c r="HZ264" s="64"/>
      <c r="IA264" s="64"/>
      <c r="IB264" s="64"/>
      <c r="IC264" s="64"/>
      <c r="ID264" s="64"/>
      <c r="IE264" s="64"/>
      <c r="IF264" s="64"/>
      <c r="IG264" s="64"/>
      <c r="IH264" s="64"/>
      <c r="II264" s="64"/>
      <c r="IJ264" s="64"/>
      <c r="IK264" s="64"/>
      <c r="IL264" s="64"/>
      <c r="IM264" s="64"/>
      <c r="IN264" s="64"/>
      <c r="IO264" s="64"/>
      <c r="IP264" s="64"/>
      <c r="IQ264" s="64"/>
      <c r="IR264" s="64"/>
      <c r="IS264" s="64"/>
      <c r="IT264" s="64"/>
      <c r="IU264" s="64"/>
      <c r="IV264" s="64"/>
      <c r="IW264" s="64"/>
      <c r="IX264" s="64"/>
      <c r="IY264" s="64"/>
      <c r="IZ264" s="64"/>
      <c r="JA264" s="64"/>
      <c r="JB264" s="64"/>
      <c r="JC264" s="64"/>
      <c r="JD264" s="64"/>
      <c r="JE264" s="64"/>
      <c r="JF264" s="64"/>
      <c r="JG264" s="64"/>
      <c r="JH264" s="64"/>
      <c r="JI264" s="64"/>
    </row>
    <row r="265" spans="1:269" s="920" customFormat="1" x14ac:dyDescent="0.2">
      <c r="A265" s="116"/>
      <c r="B265" s="64"/>
      <c r="C265" s="64"/>
      <c r="D265" s="64"/>
      <c r="E265" s="64"/>
      <c r="F265" s="64"/>
      <c r="G265" s="64"/>
      <c r="H265" s="64"/>
      <c r="I265" s="64"/>
      <c r="J265" s="116"/>
      <c r="K265" s="116"/>
      <c r="L265" s="116"/>
      <c r="M265" s="116"/>
      <c r="N265" s="116"/>
      <c r="O265" s="116"/>
      <c r="P265" s="116"/>
      <c r="Q265" s="102"/>
      <c r="R265" s="102"/>
      <c r="S265" s="102"/>
      <c r="T265" s="102"/>
      <c r="U265" s="913"/>
      <c r="V265" s="114"/>
      <c r="W265" s="805"/>
      <c r="X265" s="805"/>
      <c r="Y265" s="805"/>
      <c r="Z265" s="914"/>
      <c r="AA265" s="102"/>
      <c r="AB265" s="102"/>
      <c r="AC265" s="102"/>
      <c r="AD265" s="102"/>
      <c r="AE265" s="102"/>
      <c r="AF265" s="102"/>
      <c r="AG265" s="102"/>
      <c r="AH265" s="102"/>
      <c r="AI265" s="102"/>
      <c r="AJ265" s="906"/>
      <c r="AK265" s="102"/>
      <c r="AL265" s="915"/>
      <c r="AM265" s="915"/>
      <c r="AN265" s="114"/>
      <c r="AO265" s="64"/>
      <c r="AP265" s="64"/>
      <c r="AQ265" s="64"/>
      <c r="AR265" s="916"/>
      <c r="AS265" s="916"/>
      <c r="AT265" s="916"/>
      <c r="AU265" s="917"/>
      <c r="AV265" s="917"/>
      <c r="AW265" s="917"/>
      <c r="AX265" s="918"/>
      <c r="AY265" s="916"/>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917"/>
      <c r="CA265" s="917"/>
      <c r="CB265" s="64"/>
      <c r="CC265" s="919"/>
      <c r="CD265" s="919"/>
      <c r="CE265" s="64"/>
      <c r="CF265" s="528"/>
      <c r="CG265" s="529"/>
      <c r="CH265" s="64"/>
      <c r="CI265" s="64"/>
      <c r="CJ265" s="64"/>
      <c r="CK265" s="64"/>
      <c r="CL265" s="64"/>
      <c r="CM265" s="64"/>
      <c r="CN265" s="64"/>
      <c r="CO265" s="64"/>
      <c r="CP265" s="64"/>
      <c r="CQ265" s="64"/>
      <c r="CR265" s="64"/>
      <c r="CS265" s="64"/>
      <c r="CT265" s="64"/>
      <c r="CU265" s="64"/>
      <c r="CV265" s="64"/>
      <c r="CW265" s="64"/>
      <c r="CX265" s="64"/>
      <c r="CY265" s="1011"/>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c r="FC265" s="64"/>
      <c r="FD265" s="64"/>
      <c r="FE265" s="64"/>
      <c r="FF265" s="64"/>
      <c r="FG265" s="64"/>
      <c r="FH265" s="64"/>
      <c r="FI265" s="64"/>
      <c r="FJ265" s="64"/>
      <c r="FK265" s="64"/>
      <c r="FL265" s="64"/>
      <c r="FM265" s="64"/>
      <c r="FN265" s="64"/>
      <c r="FO265" s="64"/>
      <c r="FP265" s="64"/>
      <c r="FQ265" s="64"/>
      <c r="FR265" s="64"/>
      <c r="FS265" s="64"/>
      <c r="FT265" s="64"/>
      <c r="FU265" s="64"/>
      <c r="FV265" s="64"/>
      <c r="FW265" s="64"/>
      <c r="FX265" s="64"/>
      <c r="FY265" s="64"/>
      <c r="FZ265" s="64"/>
      <c r="GA265" s="64"/>
      <c r="GB265" s="64"/>
      <c r="GC265" s="64"/>
      <c r="GD265" s="64"/>
      <c r="GE265" s="64"/>
      <c r="GF265" s="64"/>
      <c r="GG265" s="64"/>
      <c r="GH265" s="64"/>
      <c r="GI265" s="64"/>
      <c r="GJ265" s="64"/>
      <c r="GK265" s="64"/>
      <c r="GL265" s="64"/>
      <c r="GM265" s="64"/>
      <c r="GN265" s="64"/>
      <c r="GO265" s="64"/>
      <c r="GP265" s="64"/>
      <c r="GQ265" s="64"/>
      <c r="GR265" s="64"/>
      <c r="GS265" s="64"/>
      <c r="GT265" s="64"/>
      <c r="GU265" s="64"/>
      <c r="GV265" s="64"/>
      <c r="GW265" s="64"/>
      <c r="GX265" s="64"/>
      <c r="GY265" s="64"/>
      <c r="GZ265" s="64"/>
      <c r="HA265" s="64"/>
      <c r="HB265" s="64"/>
      <c r="HC265" s="64"/>
      <c r="HD265" s="64"/>
      <c r="HE265" s="64"/>
      <c r="HF265" s="64"/>
      <c r="HG265" s="64"/>
      <c r="HH265" s="64"/>
      <c r="HI265" s="64"/>
      <c r="HJ265" s="64"/>
      <c r="HK265" s="64"/>
      <c r="HL265" s="64"/>
      <c r="HM265" s="64"/>
      <c r="HN265" s="64"/>
      <c r="HO265" s="64"/>
      <c r="HP265" s="64"/>
      <c r="HQ265" s="64"/>
      <c r="HR265" s="64"/>
      <c r="HS265" s="64"/>
      <c r="HT265" s="64"/>
      <c r="HU265" s="64"/>
      <c r="HV265" s="64"/>
      <c r="HW265" s="64"/>
      <c r="HX265" s="64"/>
      <c r="HY265" s="64"/>
      <c r="HZ265" s="64"/>
      <c r="IA265" s="64"/>
      <c r="IB265" s="64"/>
      <c r="IC265" s="64"/>
      <c r="ID265" s="64"/>
      <c r="IE265" s="64"/>
      <c r="IF265" s="64"/>
      <c r="IG265" s="64"/>
      <c r="IH265" s="64"/>
      <c r="II265" s="64"/>
      <c r="IJ265" s="64"/>
      <c r="IK265" s="64"/>
      <c r="IL265" s="64"/>
      <c r="IM265" s="64"/>
      <c r="IN265" s="64"/>
      <c r="IO265" s="64"/>
      <c r="IP265" s="64"/>
      <c r="IQ265" s="64"/>
      <c r="IR265" s="64"/>
      <c r="IS265" s="64"/>
      <c r="IT265" s="64"/>
      <c r="IU265" s="64"/>
      <c r="IV265" s="64"/>
      <c r="IW265" s="64"/>
      <c r="IX265" s="64"/>
      <c r="IY265" s="64"/>
      <c r="IZ265" s="64"/>
      <c r="JA265" s="64"/>
      <c r="JB265" s="64"/>
      <c r="JC265" s="64"/>
      <c r="JD265" s="64"/>
      <c r="JE265" s="64"/>
      <c r="JF265" s="64"/>
      <c r="JG265" s="64"/>
      <c r="JH265" s="64"/>
      <c r="JI265" s="64"/>
    </row>
    <row r="266" spans="1:269" s="920" customFormat="1" x14ac:dyDescent="0.2">
      <c r="A266" s="116"/>
      <c r="B266" s="64"/>
      <c r="C266" s="64"/>
      <c r="D266" s="64"/>
      <c r="E266" s="64"/>
      <c r="F266" s="64"/>
      <c r="G266" s="64"/>
      <c r="H266" s="64"/>
      <c r="I266" s="64"/>
      <c r="J266" s="116"/>
      <c r="K266" s="116"/>
      <c r="L266" s="116"/>
      <c r="M266" s="116"/>
      <c r="N266" s="116"/>
      <c r="O266" s="116"/>
      <c r="P266" s="116"/>
      <c r="Q266" s="102"/>
      <c r="R266" s="102"/>
      <c r="S266" s="102"/>
      <c r="T266" s="102"/>
      <c r="U266" s="913"/>
      <c r="V266" s="114"/>
      <c r="W266" s="805"/>
      <c r="X266" s="805"/>
      <c r="Y266" s="805"/>
      <c r="Z266" s="914"/>
      <c r="AA266" s="102"/>
      <c r="AB266" s="102"/>
      <c r="AC266" s="102"/>
      <c r="AD266" s="102"/>
      <c r="AE266" s="102"/>
      <c r="AF266" s="102"/>
      <c r="AG266" s="102"/>
      <c r="AH266" s="102"/>
      <c r="AI266" s="102"/>
      <c r="AJ266" s="906"/>
      <c r="AK266" s="102"/>
      <c r="AL266" s="915"/>
      <c r="AM266" s="915"/>
      <c r="AN266" s="114"/>
      <c r="AO266" s="64"/>
      <c r="AP266" s="64"/>
      <c r="AQ266" s="64"/>
      <c r="AR266" s="916"/>
      <c r="AS266" s="916"/>
      <c r="AT266" s="916"/>
      <c r="AU266" s="917"/>
      <c r="AV266" s="917"/>
      <c r="AW266" s="917"/>
      <c r="AX266" s="918"/>
      <c r="AY266" s="916"/>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917"/>
      <c r="CA266" s="917"/>
      <c r="CB266" s="64"/>
      <c r="CC266" s="919"/>
      <c r="CD266" s="919"/>
      <c r="CE266" s="64"/>
      <c r="CF266" s="528"/>
      <c r="CG266" s="529"/>
      <c r="CH266" s="64"/>
      <c r="CI266" s="64"/>
      <c r="CJ266" s="64"/>
      <c r="CK266" s="64"/>
      <c r="CL266" s="64"/>
      <c r="CM266" s="64"/>
      <c r="CN266" s="64"/>
      <c r="CO266" s="64"/>
      <c r="CP266" s="64"/>
      <c r="CQ266" s="64"/>
      <c r="CR266" s="64"/>
      <c r="CS266" s="64"/>
      <c r="CT266" s="64"/>
      <c r="CU266" s="64"/>
      <c r="CV266" s="64"/>
      <c r="CW266" s="64"/>
      <c r="CX266" s="64"/>
      <c r="CY266" s="1011"/>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c r="FC266" s="64"/>
      <c r="FD266" s="64"/>
      <c r="FE266" s="64"/>
      <c r="FF266" s="64"/>
      <c r="FG266" s="64"/>
      <c r="FH266" s="64"/>
      <c r="FI266" s="64"/>
      <c r="FJ266" s="64"/>
      <c r="FK266" s="64"/>
      <c r="FL266" s="64"/>
      <c r="FM266" s="64"/>
      <c r="FN266" s="64"/>
      <c r="FO266" s="64"/>
      <c r="FP266" s="64"/>
      <c r="FQ266" s="64"/>
      <c r="FR266" s="64"/>
      <c r="FS266" s="64"/>
      <c r="FT266" s="64"/>
      <c r="FU266" s="64"/>
      <c r="FV266" s="64"/>
      <c r="FW266" s="64"/>
      <c r="FX266" s="64"/>
      <c r="FY266" s="64"/>
      <c r="FZ266" s="64"/>
      <c r="GA266" s="64"/>
      <c r="GB266" s="64"/>
      <c r="GC266" s="64"/>
      <c r="GD266" s="64"/>
      <c r="GE266" s="64"/>
      <c r="GF266" s="64"/>
      <c r="GG266" s="64"/>
      <c r="GH266" s="64"/>
      <c r="GI266" s="64"/>
      <c r="GJ266" s="64"/>
      <c r="GK266" s="64"/>
      <c r="GL266" s="64"/>
      <c r="GM266" s="64"/>
      <c r="GN266" s="64"/>
      <c r="GO266" s="64"/>
      <c r="GP266" s="64"/>
      <c r="GQ266" s="64"/>
      <c r="GR266" s="64"/>
      <c r="GS266" s="64"/>
      <c r="GT266" s="64"/>
      <c r="GU266" s="64"/>
      <c r="GV266" s="64"/>
      <c r="GW266" s="64"/>
      <c r="GX266" s="64"/>
      <c r="GY266" s="64"/>
      <c r="GZ266" s="64"/>
      <c r="HA266" s="64"/>
      <c r="HB266" s="64"/>
      <c r="HC266" s="64"/>
      <c r="HD266" s="64"/>
      <c r="HE266" s="64"/>
      <c r="HF266" s="64"/>
      <c r="HG266" s="64"/>
      <c r="HH266" s="64"/>
      <c r="HI266" s="64"/>
      <c r="HJ266" s="64"/>
      <c r="HK266" s="64"/>
      <c r="HL266" s="64"/>
      <c r="HM266" s="64"/>
      <c r="HN266" s="64"/>
      <c r="HO266" s="64"/>
      <c r="HP266" s="64"/>
      <c r="HQ266" s="64"/>
      <c r="HR266" s="64"/>
      <c r="HS266" s="64"/>
      <c r="HT266" s="64"/>
      <c r="HU266" s="64"/>
      <c r="HV266" s="64"/>
      <c r="HW266" s="64"/>
      <c r="HX266" s="64"/>
      <c r="HY266" s="64"/>
      <c r="HZ266" s="64"/>
      <c r="IA266" s="64"/>
      <c r="IB266" s="64"/>
      <c r="IC266" s="64"/>
      <c r="ID266" s="64"/>
      <c r="IE266" s="64"/>
      <c r="IF266" s="64"/>
      <c r="IG266" s="64"/>
      <c r="IH266" s="64"/>
      <c r="II266" s="64"/>
      <c r="IJ266" s="64"/>
      <c r="IK266" s="64"/>
      <c r="IL266" s="64"/>
      <c r="IM266" s="64"/>
      <c r="IN266" s="64"/>
      <c r="IO266" s="64"/>
      <c r="IP266" s="64"/>
      <c r="IQ266" s="64"/>
      <c r="IR266" s="64"/>
      <c r="IS266" s="64"/>
      <c r="IT266" s="64"/>
      <c r="IU266" s="64"/>
      <c r="IV266" s="64"/>
      <c r="IW266" s="64"/>
      <c r="IX266" s="64"/>
      <c r="IY266" s="64"/>
      <c r="IZ266" s="64"/>
      <c r="JA266" s="64"/>
      <c r="JB266" s="64"/>
      <c r="JC266" s="64"/>
      <c r="JD266" s="64"/>
      <c r="JE266" s="64"/>
      <c r="JF266" s="64"/>
      <c r="JG266" s="64"/>
      <c r="JH266" s="64"/>
      <c r="JI266" s="64"/>
    </row>
    <row r="267" spans="1:269" s="920" customFormat="1" x14ac:dyDescent="0.2">
      <c r="A267" s="116"/>
      <c r="B267" s="64"/>
      <c r="C267" s="64"/>
      <c r="D267" s="64"/>
      <c r="E267" s="64"/>
      <c r="F267" s="64"/>
      <c r="G267" s="64"/>
      <c r="H267" s="64"/>
      <c r="I267" s="64"/>
      <c r="J267" s="116"/>
      <c r="K267" s="116"/>
      <c r="L267" s="116"/>
      <c r="M267" s="116"/>
      <c r="N267" s="116"/>
      <c r="O267" s="116"/>
      <c r="P267" s="116"/>
      <c r="Q267" s="102"/>
      <c r="R267" s="102"/>
      <c r="S267" s="102"/>
      <c r="T267" s="102"/>
      <c r="U267" s="913"/>
      <c r="V267" s="114"/>
      <c r="W267" s="805"/>
      <c r="X267" s="805"/>
      <c r="Y267" s="805"/>
      <c r="Z267" s="914"/>
      <c r="AA267" s="102"/>
      <c r="AB267" s="102"/>
      <c r="AC267" s="102"/>
      <c r="AD267" s="102"/>
      <c r="AE267" s="102"/>
      <c r="AF267" s="102"/>
      <c r="AG267" s="102"/>
      <c r="AH267" s="102"/>
      <c r="AI267" s="102"/>
      <c r="AJ267" s="906"/>
      <c r="AK267" s="102"/>
      <c r="AL267" s="915"/>
      <c r="AM267" s="915"/>
      <c r="AN267" s="114"/>
      <c r="AO267" s="64"/>
      <c r="AP267" s="64"/>
      <c r="AQ267" s="64"/>
      <c r="AR267" s="916"/>
      <c r="AS267" s="916"/>
      <c r="AT267" s="916"/>
      <c r="AU267" s="917"/>
      <c r="AV267" s="917"/>
      <c r="AW267" s="917"/>
      <c r="AX267" s="918"/>
      <c r="AY267" s="916"/>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917"/>
      <c r="CA267" s="917"/>
      <c r="CB267" s="64"/>
      <c r="CC267" s="919"/>
      <c r="CD267" s="919"/>
      <c r="CE267" s="64"/>
      <c r="CF267" s="528"/>
      <c r="CG267" s="529"/>
      <c r="CH267" s="64"/>
      <c r="CI267" s="64"/>
      <c r="CJ267" s="64"/>
      <c r="CK267" s="64"/>
      <c r="CL267" s="64"/>
      <c r="CM267" s="64"/>
      <c r="CN267" s="64"/>
      <c r="CO267" s="64"/>
      <c r="CP267" s="64"/>
      <c r="CQ267" s="64"/>
      <c r="CR267" s="64"/>
      <c r="CS267" s="64"/>
      <c r="CT267" s="64"/>
      <c r="CU267" s="64"/>
      <c r="CV267" s="64"/>
      <c r="CW267" s="64"/>
      <c r="CX267" s="64"/>
      <c r="CY267" s="1011"/>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c r="FC267" s="64"/>
      <c r="FD267" s="64"/>
      <c r="FE267" s="64"/>
      <c r="FF267" s="64"/>
      <c r="FG267" s="64"/>
      <c r="FH267" s="64"/>
      <c r="FI267" s="64"/>
      <c r="FJ267" s="64"/>
      <c r="FK267" s="64"/>
      <c r="FL267" s="64"/>
      <c r="FM267" s="64"/>
      <c r="FN267" s="64"/>
      <c r="FO267" s="64"/>
      <c r="FP267" s="64"/>
      <c r="FQ267" s="64"/>
      <c r="FR267" s="64"/>
      <c r="FS267" s="64"/>
      <c r="FT267" s="64"/>
      <c r="FU267" s="64"/>
      <c r="FV267" s="64"/>
      <c r="FW267" s="64"/>
      <c r="FX267" s="64"/>
      <c r="FY267" s="64"/>
      <c r="FZ267" s="64"/>
      <c r="GA267" s="64"/>
      <c r="GB267" s="64"/>
      <c r="GC267" s="64"/>
      <c r="GD267" s="64"/>
      <c r="GE267" s="64"/>
      <c r="GF267" s="64"/>
      <c r="GG267" s="64"/>
      <c r="GH267" s="64"/>
      <c r="GI267" s="64"/>
      <c r="GJ267" s="64"/>
      <c r="GK267" s="64"/>
      <c r="GL267" s="64"/>
      <c r="GM267" s="64"/>
      <c r="GN267" s="64"/>
      <c r="GO267" s="64"/>
      <c r="GP267" s="64"/>
      <c r="GQ267" s="64"/>
      <c r="GR267" s="64"/>
      <c r="GS267" s="64"/>
      <c r="GT267" s="64"/>
      <c r="GU267" s="64"/>
      <c r="GV267" s="64"/>
      <c r="GW267" s="64"/>
      <c r="GX267" s="64"/>
      <c r="GY267" s="64"/>
      <c r="GZ267" s="64"/>
      <c r="HA267" s="64"/>
      <c r="HB267" s="64"/>
      <c r="HC267" s="64"/>
      <c r="HD267" s="64"/>
      <c r="HE267" s="64"/>
      <c r="HF267" s="64"/>
      <c r="HG267" s="64"/>
      <c r="HH267" s="64"/>
      <c r="HI267" s="64"/>
      <c r="HJ267" s="64"/>
      <c r="HK267" s="64"/>
      <c r="HL267" s="64"/>
      <c r="HM267" s="64"/>
      <c r="HN267" s="64"/>
      <c r="HO267" s="64"/>
      <c r="HP267" s="64"/>
      <c r="HQ267" s="64"/>
      <c r="HR267" s="64"/>
      <c r="HS267" s="64"/>
      <c r="HT267" s="64"/>
      <c r="HU267" s="64"/>
      <c r="HV267" s="64"/>
      <c r="HW267" s="64"/>
      <c r="HX267" s="64"/>
      <c r="HY267" s="64"/>
      <c r="HZ267" s="64"/>
      <c r="IA267" s="64"/>
      <c r="IB267" s="64"/>
      <c r="IC267" s="64"/>
      <c r="ID267" s="64"/>
      <c r="IE267" s="64"/>
      <c r="IF267" s="64"/>
      <c r="IG267" s="64"/>
      <c r="IH267" s="64"/>
      <c r="II267" s="64"/>
      <c r="IJ267" s="64"/>
      <c r="IK267" s="64"/>
      <c r="IL267" s="64"/>
      <c r="IM267" s="64"/>
      <c r="IN267" s="64"/>
      <c r="IO267" s="64"/>
      <c r="IP267" s="64"/>
      <c r="IQ267" s="64"/>
      <c r="IR267" s="64"/>
      <c r="IS267" s="64"/>
      <c r="IT267" s="64"/>
      <c r="IU267" s="64"/>
      <c r="IV267" s="64"/>
      <c r="IW267" s="64"/>
      <c r="IX267" s="64"/>
      <c r="IY267" s="64"/>
      <c r="IZ267" s="64"/>
      <c r="JA267" s="64"/>
      <c r="JB267" s="64"/>
      <c r="JC267" s="64"/>
      <c r="JD267" s="64"/>
      <c r="JE267" s="64"/>
      <c r="JF267" s="64"/>
      <c r="JG267" s="64"/>
      <c r="JH267" s="64"/>
      <c r="JI267" s="64"/>
    </row>
    <row r="268" spans="1:269" s="920" customFormat="1" x14ac:dyDescent="0.2">
      <c r="A268" s="116"/>
      <c r="B268" s="64"/>
      <c r="C268" s="64"/>
      <c r="D268" s="64"/>
      <c r="E268" s="64"/>
      <c r="F268" s="64"/>
      <c r="G268" s="64"/>
      <c r="H268" s="64"/>
      <c r="I268" s="64"/>
      <c r="J268" s="116"/>
      <c r="K268" s="116"/>
      <c r="L268" s="116"/>
      <c r="M268" s="116"/>
      <c r="N268" s="116"/>
      <c r="O268" s="116"/>
      <c r="P268" s="116"/>
      <c r="Q268" s="102"/>
      <c r="R268" s="102"/>
      <c r="S268" s="102"/>
      <c r="T268" s="102"/>
      <c r="U268" s="913"/>
      <c r="V268" s="114"/>
      <c r="W268" s="805"/>
      <c r="X268" s="805"/>
      <c r="Y268" s="805"/>
      <c r="Z268" s="914"/>
      <c r="AA268" s="102"/>
      <c r="AB268" s="102"/>
      <c r="AC268" s="102"/>
      <c r="AD268" s="102"/>
      <c r="AE268" s="102"/>
      <c r="AF268" s="102"/>
      <c r="AG268" s="102"/>
      <c r="AH268" s="102"/>
      <c r="AI268" s="102"/>
      <c r="AJ268" s="906"/>
      <c r="AK268" s="102"/>
      <c r="AL268" s="915"/>
      <c r="AM268" s="915"/>
      <c r="AN268" s="114"/>
      <c r="AO268" s="64"/>
      <c r="AP268" s="64"/>
      <c r="AQ268" s="64"/>
      <c r="AR268" s="916"/>
      <c r="AS268" s="916"/>
      <c r="AT268" s="916"/>
      <c r="AU268" s="917"/>
      <c r="AV268" s="917"/>
      <c r="AW268" s="917"/>
      <c r="AX268" s="918"/>
      <c r="AY268" s="916"/>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917"/>
      <c r="CA268" s="917"/>
      <c r="CB268" s="64"/>
      <c r="CC268" s="919"/>
      <c r="CD268" s="919"/>
      <c r="CE268" s="64"/>
      <c r="CF268" s="528"/>
      <c r="CG268" s="529"/>
      <c r="CH268" s="64"/>
      <c r="CI268" s="64"/>
      <c r="CJ268" s="64"/>
      <c r="CK268" s="64"/>
      <c r="CL268" s="64"/>
      <c r="CM268" s="64"/>
      <c r="CN268" s="64"/>
      <c r="CO268" s="64"/>
      <c r="CP268" s="64"/>
      <c r="CQ268" s="64"/>
      <c r="CR268" s="64"/>
      <c r="CS268" s="64"/>
      <c r="CT268" s="64"/>
      <c r="CU268" s="64"/>
      <c r="CV268" s="64"/>
      <c r="CW268" s="64"/>
      <c r="CX268" s="64"/>
      <c r="CY268" s="1011"/>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c r="FC268" s="64"/>
      <c r="FD268" s="64"/>
      <c r="FE268" s="64"/>
      <c r="FF268" s="64"/>
      <c r="FG268" s="64"/>
      <c r="FH268" s="64"/>
      <c r="FI268" s="64"/>
      <c r="FJ268" s="64"/>
      <c r="FK268" s="64"/>
      <c r="FL268" s="64"/>
      <c r="FM268" s="64"/>
      <c r="FN268" s="64"/>
      <c r="FO268" s="64"/>
      <c r="FP268" s="64"/>
      <c r="FQ268" s="64"/>
      <c r="FR268" s="64"/>
      <c r="FS268" s="64"/>
      <c r="FT268" s="64"/>
      <c r="FU268" s="64"/>
      <c r="FV268" s="64"/>
      <c r="FW268" s="64"/>
      <c r="FX268" s="64"/>
      <c r="FY268" s="64"/>
      <c r="FZ268" s="64"/>
      <c r="GA268" s="64"/>
      <c r="GB268" s="64"/>
      <c r="GC268" s="64"/>
      <c r="GD268" s="64"/>
      <c r="GE268" s="64"/>
      <c r="GF268" s="64"/>
      <c r="GG268" s="64"/>
      <c r="GH268" s="64"/>
      <c r="GI268" s="64"/>
      <c r="GJ268" s="64"/>
      <c r="GK268" s="64"/>
      <c r="GL268" s="64"/>
      <c r="GM268" s="64"/>
      <c r="GN268" s="64"/>
      <c r="GO268" s="64"/>
      <c r="GP268" s="64"/>
      <c r="GQ268" s="64"/>
      <c r="GR268" s="64"/>
      <c r="GS268" s="64"/>
      <c r="GT268" s="64"/>
      <c r="GU268" s="64"/>
      <c r="GV268" s="64"/>
      <c r="GW268" s="64"/>
      <c r="GX268" s="64"/>
      <c r="GY268" s="64"/>
      <c r="GZ268" s="64"/>
      <c r="HA268" s="64"/>
      <c r="HB268" s="64"/>
      <c r="HC268" s="64"/>
      <c r="HD268" s="64"/>
      <c r="HE268" s="64"/>
      <c r="HF268" s="64"/>
      <c r="HG268" s="64"/>
      <c r="HH268" s="64"/>
      <c r="HI268" s="64"/>
      <c r="HJ268" s="64"/>
      <c r="HK268" s="64"/>
      <c r="HL268" s="64"/>
      <c r="HM268" s="64"/>
      <c r="HN268" s="64"/>
      <c r="HO268" s="64"/>
      <c r="HP268" s="64"/>
      <c r="HQ268" s="64"/>
      <c r="HR268" s="64"/>
      <c r="HS268" s="64"/>
      <c r="HT268" s="64"/>
      <c r="HU268" s="64"/>
      <c r="HV268" s="64"/>
      <c r="HW268" s="64"/>
      <c r="HX268" s="64"/>
      <c r="HY268" s="64"/>
      <c r="HZ268" s="64"/>
      <c r="IA268" s="64"/>
      <c r="IB268" s="64"/>
      <c r="IC268" s="64"/>
      <c r="ID268" s="64"/>
      <c r="IE268" s="64"/>
      <c r="IF268" s="64"/>
      <c r="IG268" s="64"/>
      <c r="IH268" s="64"/>
      <c r="II268" s="64"/>
      <c r="IJ268" s="64"/>
      <c r="IK268" s="64"/>
      <c r="IL268" s="64"/>
      <c r="IM268" s="64"/>
      <c r="IN268" s="64"/>
      <c r="IO268" s="64"/>
      <c r="IP268" s="64"/>
      <c r="IQ268" s="64"/>
      <c r="IR268" s="64"/>
      <c r="IS268" s="64"/>
      <c r="IT268" s="64"/>
      <c r="IU268" s="64"/>
      <c r="IV268" s="64"/>
      <c r="IW268" s="64"/>
      <c r="IX268" s="64"/>
      <c r="IY268" s="64"/>
      <c r="IZ268" s="64"/>
      <c r="JA268" s="64"/>
      <c r="JB268" s="64"/>
      <c r="JC268" s="64"/>
      <c r="JD268" s="64"/>
      <c r="JE268" s="64"/>
      <c r="JF268" s="64"/>
      <c r="JG268" s="64"/>
      <c r="JH268" s="64"/>
      <c r="JI268" s="64"/>
    </row>
    <row r="269" spans="1:269" s="920" customFormat="1" x14ac:dyDescent="0.2">
      <c r="A269" s="116"/>
      <c r="B269" s="64"/>
      <c r="C269" s="64"/>
      <c r="D269" s="64"/>
      <c r="E269" s="64"/>
      <c r="F269" s="64"/>
      <c r="G269" s="64"/>
      <c r="H269" s="64"/>
      <c r="I269" s="64"/>
      <c r="J269" s="116"/>
      <c r="K269" s="116"/>
      <c r="L269" s="116"/>
      <c r="M269" s="116"/>
      <c r="N269" s="116"/>
      <c r="O269" s="116"/>
      <c r="P269" s="116"/>
      <c r="Q269" s="102"/>
      <c r="R269" s="102"/>
      <c r="S269" s="102"/>
      <c r="T269" s="102"/>
      <c r="U269" s="913"/>
      <c r="V269" s="114"/>
      <c r="W269" s="805"/>
      <c r="X269" s="805"/>
      <c r="Y269" s="805"/>
      <c r="Z269" s="914"/>
      <c r="AA269" s="102"/>
      <c r="AB269" s="102"/>
      <c r="AC269" s="102"/>
      <c r="AD269" s="102"/>
      <c r="AE269" s="102"/>
      <c r="AF269" s="102"/>
      <c r="AG269" s="102"/>
      <c r="AH269" s="102"/>
      <c r="AI269" s="102"/>
      <c r="AJ269" s="906"/>
      <c r="AK269" s="102"/>
      <c r="AL269" s="915"/>
      <c r="AM269" s="915"/>
      <c r="AN269" s="114"/>
      <c r="AO269" s="64"/>
      <c r="AP269" s="64"/>
      <c r="AQ269" s="64"/>
      <c r="AR269" s="916"/>
      <c r="AS269" s="916"/>
      <c r="AT269" s="916"/>
      <c r="AU269" s="917"/>
      <c r="AV269" s="917"/>
      <c r="AW269" s="917"/>
      <c r="AX269" s="918"/>
      <c r="AY269" s="916"/>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917"/>
      <c r="CA269" s="917"/>
      <c r="CB269" s="64"/>
      <c r="CC269" s="919"/>
      <c r="CD269" s="919"/>
      <c r="CE269" s="64"/>
      <c r="CF269" s="528"/>
      <c r="CG269" s="529"/>
      <c r="CH269" s="64"/>
      <c r="CI269" s="64"/>
      <c r="CJ269" s="64"/>
      <c r="CK269" s="64"/>
      <c r="CL269" s="64"/>
      <c r="CM269" s="64"/>
      <c r="CN269" s="64"/>
      <c r="CO269" s="64"/>
      <c r="CP269" s="64"/>
      <c r="CQ269" s="64"/>
      <c r="CR269" s="64"/>
      <c r="CS269" s="64"/>
      <c r="CT269" s="64"/>
      <c r="CU269" s="64"/>
      <c r="CV269" s="64"/>
      <c r="CW269" s="64"/>
      <c r="CX269" s="64"/>
      <c r="CY269" s="1011"/>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c r="FC269" s="64"/>
      <c r="FD269" s="64"/>
      <c r="FE269" s="64"/>
      <c r="FF269" s="64"/>
      <c r="FG269" s="64"/>
      <c r="FH269" s="64"/>
      <c r="FI269" s="64"/>
      <c r="FJ269" s="64"/>
      <c r="FK269" s="64"/>
      <c r="FL269" s="64"/>
      <c r="FM269" s="64"/>
      <c r="FN269" s="64"/>
      <c r="FO269" s="64"/>
      <c r="FP269" s="64"/>
      <c r="FQ269" s="64"/>
      <c r="FR269" s="64"/>
      <c r="FS269" s="64"/>
      <c r="FT269" s="64"/>
      <c r="FU269" s="64"/>
      <c r="FV269" s="64"/>
      <c r="FW269" s="64"/>
      <c r="FX269" s="64"/>
      <c r="FY269" s="64"/>
      <c r="FZ269" s="64"/>
      <c r="GA269" s="64"/>
      <c r="GB269" s="64"/>
      <c r="GC269" s="64"/>
      <c r="GD269" s="64"/>
      <c r="GE269" s="64"/>
      <c r="GF269" s="64"/>
      <c r="GG269" s="64"/>
      <c r="GH269" s="64"/>
      <c r="GI269" s="64"/>
      <c r="GJ269" s="64"/>
      <c r="GK269" s="64"/>
      <c r="GL269" s="64"/>
      <c r="GM269" s="64"/>
      <c r="GN269" s="64"/>
      <c r="GO269" s="64"/>
      <c r="GP269" s="64"/>
      <c r="GQ269" s="64"/>
      <c r="GR269" s="64"/>
      <c r="GS269" s="64"/>
      <c r="GT269" s="64"/>
      <c r="GU269" s="64"/>
      <c r="GV269" s="64"/>
      <c r="GW269" s="64"/>
      <c r="GX269" s="64"/>
      <c r="GY269" s="64"/>
      <c r="GZ269" s="64"/>
      <c r="HA269" s="64"/>
      <c r="HB269" s="64"/>
      <c r="HC269" s="64"/>
      <c r="HD269" s="64"/>
      <c r="HE269" s="64"/>
      <c r="HF269" s="64"/>
      <c r="HG269" s="64"/>
      <c r="HH269" s="64"/>
      <c r="HI269" s="64"/>
      <c r="HJ269" s="64"/>
      <c r="HK269" s="64"/>
      <c r="HL269" s="64"/>
      <c r="HM269" s="64"/>
      <c r="HN269" s="64"/>
      <c r="HO269" s="64"/>
      <c r="HP269" s="64"/>
      <c r="HQ269" s="64"/>
      <c r="HR269" s="64"/>
      <c r="HS269" s="64"/>
      <c r="HT269" s="64"/>
      <c r="HU269" s="64"/>
      <c r="HV269" s="64"/>
      <c r="HW269" s="64"/>
      <c r="HX269" s="64"/>
      <c r="HY269" s="64"/>
      <c r="HZ269" s="64"/>
      <c r="IA269" s="64"/>
      <c r="IB269" s="64"/>
      <c r="IC269" s="64"/>
      <c r="ID269" s="64"/>
      <c r="IE269" s="64"/>
      <c r="IF269" s="64"/>
      <c r="IG269" s="64"/>
      <c r="IH269" s="64"/>
      <c r="II269" s="64"/>
      <c r="IJ269" s="64"/>
      <c r="IK269" s="64"/>
      <c r="IL269" s="64"/>
      <c r="IM269" s="64"/>
      <c r="IN269" s="64"/>
      <c r="IO269" s="64"/>
      <c r="IP269" s="64"/>
      <c r="IQ269" s="64"/>
      <c r="IR269" s="64"/>
      <c r="IS269" s="64"/>
      <c r="IT269" s="64"/>
      <c r="IU269" s="64"/>
      <c r="IV269" s="64"/>
      <c r="IW269" s="64"/>
      <c r="IX269" s="64"/>
      <c r="IY269" s="64"/>
      <c r="IZ269" s="64"/>
      <c r="JA269" s="64"/>
      <c r="JB269" s="64"/>
      <c r="JC269" s="64"/>
      <c r="JD269" s="64"/>
      <c r="JE269" s="64"/>
      <c r="JF269" s="64"/>
      <c r="JG269" s="64"/>
      <c r="JH269" s="64"/>
      <c r="JI269" s="64"/>
    </row>
    <row r="270" spans="1:269" s="920" customFormat="1" x14ac:dyDescent="0.2">
      <c r="A270" s="116"/>
      <c r="B270" s="64"/>
      <c r="C270" s="64"/>
      <c r="D270" s="64"/>
      <c r="E270" s="64"/>
      <c r="F270" s="64"/>
      <c r="G270" s="64"/>
      <c r="H270" s="64"/>
      <c r="I270" s="64"/>
      <c r="J270" s="116"/>
      <c r="K270" s="116"/>
      <c r="L270" s="116"/>
      <c r="M270" s="116"/>
      <c r="N270" s="116"/>
      <c r="O270" s="116"/>
      <c r="P270" s="116"/>
      <c r="Q270" s="102"/>
      <c r="R270" s="102"/>
      <c r="S270" s="102"/>
      <c r="T270" s="102"/>
      <c r="U270" s="913"/>
      <c r="V270" s="114"/>
      <c r="W270" s="805"/>
      <c r="X270" s="805"/>
      <c r="Y270" s="805"/>
      <c r="Z270" s="914"/>
      <c r="AA270" s="102"/>
      <c r="AB270" s="102"/>
      <c r="AC270" s="102"/>
      <c r="AD270" s="102"/>
      <c r="AE270" s="102"/>
      <c r="AF270" s="102"/>
      <c r="AG270" s="102"/>
      <c r="AH270" s="102"/>
      <c r="AI270" s="102"/>
      <c r="AJ270" s="906"/>
      <c r="AK270" s="102"/>
      <c r="AL270" s="915"/>
      <c r="AM270" s="915"/>
      <c r="AN270" s="114"/>
      <c r="AO270" s="64"/>
      <c r="AP270" s="64"/>
      <c r="AQ270" s="64"/>
      <c r="AR270" s="916"/>
      <c r="AS270" s="916"/>
      <c r="AT270" s="916"/>
      <c r="AU270" s="917"/>
      <c r="AV270" s="917"/>
      <c r="AW270" s="917"/>
      <c r="AX270" s="918"/>
      <c r="AY270" s="916"/>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917"/>
      <c r="CA270" s="917"/>
      <c r="CB270" s="64"/>
      <c r="CC270" s="919"/>
      <c r="CD270" s="919"/>
      <c r="CE270" s="64"/>
      <c r="CF270" s="528"/>
      <c r="CG270" s="529"/>
      <c r="CH270" s="64"/>
      <c r="CI270" s="64"/>
      <c r="CJ270" s="64"/>
      <c r="CK270" s="64"/>
      <c r="CL270" s="64"/>
      <c r="CM270" s="64"/>
      <c r="CN270" s="64"/>
      <c r="CO270" s="64"/>
      <c r="CP270" s="64"/>
      <c r="CQ270" s="64"/>
      <c r="CR270" s="64"/>
      <c r="CS270" s="64"/>
      <c r="CT270" s="64"/>
      <c r="CU270" s="64"/>
      <c r="CV270" s="64"/>
      <c r="CW270" s="64"/>
      <c r="CX270" s="64"/>
      <c r="CY270" s="1011"/>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c r="ID270" s="64"/>
      <c r="IE270" s="64"/>
      <c r="IF270" s="64"/>
      <c r="IG270" s="64"/>
      <c r="IH270" s="64"/>
      <c r="II270" s="64"/>
      <c r="IJ270" s="64"/>
      <c r="IK270" s="64"/>
      <c r="IL270" s="64"/>
      <c r="IM270" s="64"/>
      <c r="IN270" s="64"/>
      <c r="IO270" s="64"/>
      <c r="IP270" s="64"/>
      <c r="IQ270" s="64"/>
      <c r="IR270" s="64"/>
      <c r="IS270" s="64"/>
      <c r="IT270" s="64"/>
      <c r="IU270" s="64"/>
      <c r="IV270" s="64"/>
      <c r="IW270" s="64"/>
      <c r="IX270" s="64"/>
      <c r="IY270" s="64"/>
      <c r="IZ270" s="64"/>
      <c r="JA270" s="64"/>
      <c r="JB270" s="64"/>
      <c r="JC270" s="64"/>
      <c r="JD270" s="64"/>
      <c r="JE270" s="64"/>
      <c r="JF270" s="64"/>
      <c r="JG270" s="64"/>
      <c r="JH270" s="64"/>
      <c r="JI270" s="64"/>
    </row>
    <row r="271" spans="1:269" s="920" customFormat="1" x14ac:dyDescent="0.2">
      <c r="A271" s="116"/>
      <c r="B271" s="64"/>
      <c r="C271" s="64"/>
      <c r="D271" s="64"/>
      <c r="E271" s="64"/>
      <c r="F271" s="64"/>
      <c r="G271" s="64"/>
      <c r="H271" s="64"/>
      <c r="I271" s="64"/>
      <c r="J271" s="116"/>
      <c r="K271" s="116"/>
      <c r="L271" s="116"/>
      <c r="M271" s="116"/>
      <c r="N271" s="116"/>
      <c r="O271" s="116"/>
      <c r="P271" s="116"/>
      <c r="Q271" s="102"/>
      <c r="R271" s="102"/>
      <c r="S271" s="102"/>
      <c r="T271" s="102"/>
      <c r="U271" s="913"/>
      <c r="V271" s="114"/>
      <c r="W271" s="805"/>
      <c r="X271" s="805"/>
      <c r="Y271" s="805"/>
      <c r="Z271" s="914"/>
      <c r="AA271" s="102"/>
      <c r="AB271" s="102"/>
      <c r="AC271" s="102"/>
      <c r="AD271" s="102"/>
      <c r="AE271" s="102"/>
      <c r="AF271" s="102"/>
      <c r="AG271" s="102"/>
      <c r="AH271" s="102"/>
      <c r="AI271" s="102"/>
      <c r="AJ271" s="906"/>
      <c r="AK271" s="102"/>
      <c r="AL271" s="915"/>
      <c r="AM271" s="915"/>
      <c r="AN271" s="114"/>
      <c r="AO271" s="64"/>
      <c r="AP271" s="64"/>
      <c r="AQ271" s="64"/>
      <c r="AR271" s="916"/>
      <c r="AS271" s="916"/>
      <c r="AT271" s="916"/>
      <c r="AU271" s="917"/>
      <c r="AV271" s="917"/>
      <c r="AW271" s="917"/>
      <c r="AX271" s="918"/>
      <c r="AY271" s="916"/>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917"/>
      <c r="CA271" s="917"/>
      <c r="CB271" s="64"/>
      <c r="CC271" s="919"/>
      <c r="CD271" s="919"/>
      <c r="CE271" s="64"/>
      <c r="CF271" s="528"/>
      <c r="CG271" s="529"/>
      <c r="CH271" s="64"/>
      <c r="CI271" s="64"/>
      <c r="CJ271" s="64"/>
      <c r="CK271" s="64"/>
      <c r="CL271" s="64"/>
      <c r="CM271" s="64"/>
      <c r="CN271" s="64"/>
      <c r="CO271" s="64"/>
      <c r="CP271" s="64"/>
      <c r="CQ271" s="64"/>
      <c r="CR271" s="64"/>
      <c r="CS271" s="64"/>
      <c r="CT271" s="64"/>
      <c r="CU271" s="64"/>
      <c r="CV271" s="64"/>
      <c r="CW271" s="64"/>
      <c r="CX271" s="64"/>
      <c r="CY271" s="1011"/>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c r="FC271" s="64"/>
      <c r="FD271" s="64"/>
      <c r="FE271" s="64"/>
      <c r="FF271" s="64"/>
      <c r="FG271" s="64"/>
      <c r="FH271" s="64"/>
      <c r="FI271" s="64"/>
      <c r="FJ271" s="64"/>
      <c r="FK271" s="64"/>
      <c r="FL271" s="64"/>
      <c r="FM271" s="64"/>
      <c r="FN271" s="64"/>
      <c r="FO271" s="64"/>
      <c r="FP271" s="64"/>
      <c r="FQ271" s="64"/>
      <c r="FR271" s="64"/>
      <c r="FS271" s="64"/>
      <c r="FT271" s="64"/>
      <c r="FU271" s="64"/>
      <c r="FV271" s="64"/>
      <c r="FW271" s="64"/>
      <c r="FX271" s="64"/>
      <c r="FY271" s="64"/>
      <c r="FZ271" s="64"/>
      <c r="GA271" s="64"/>
      <c r="GB271" s="64"/>
      <c r="GC271" s="64"/>
      <c r="GD271" s="64"/>
      <c r="GE271" s="64"/>
      <c r="GF271" s="64"/>
      <c r="GG271" s="64"/>
      <c r="GH271" s="64"/>
      <c r="GI271" s="64"/>
      <c r="GJ271" s="64"/>
      <c r="GK271" s="64"/>
      <c r="GL271" s="64"/>
      <c r="GM271" s="64"/>
      <c r="GN271" s="64"/>
      <c r="GO271" s="64"/>
      <c r="GP271" s="64"/>
      <c r="GQ271" s="64"/>
      <c r="GR271" s="64"/>
      <c r="GS271" s="64"/>
      <c r="GT271" s="64"/>
      <c r="GU271" s="64"/>
      <c r="GV271" s="64"/>
      <c r="GW271" s="64"/>
      <c r="GX271" s="64"/>
      <c r="GY271" s="64"/>
      <c r="GZ271" s="64"/>
      <c r="HA271" s="64"/>
      <c r="HB271" s="64"/>
      <c r="HC271" s="64"/>
      <c r="HD271" s="64"/>
      <c r="HE271" s="64"/>
      <c r="HF271" s="64"/>
      <c r="HG271" s="64"/>
      <c r="HH271" s="64"/>
      <c r="HI271" s="64"/>
      <c r="HJ271" s="64"/>
      <c r="HK271" s="64"/>
      <c r="HL271" s="64"/>
      <c r="HM271" s="64"/>
      <c r="HN271" s="64"/>
      <c r="HO271" s="64"/>
      <c r="HP271" s="64"/>
      <c r="HQ271" s="64"/>
      <c r="HR271" s="64"/>
      <c r="HS271" s="64"/>
      <c r="HT271" s="64"/>
      <c r="HU271" s="64"/>
      <c r="HV271" s="64"/>
      <c r="HW271" s="64"/>
      <c r="HX271" s="64"/>
      <c r="HY271" s="64"/>
      <c r="HZ271" s="64"/>
      <c r="IA271" s="64"/>
      <c r="IB271" s="64"/>
      <c r="IC271" s="64"/>
      <c r="ID271" s="64"/>
      <c r="IE271" s="64"/>
      <c r="IF271" s="64"/>
      <c r="IG271" s="64"/>
      <c r="IH271" s="64"/>
      <c r="II271" s="64"/>
      <c r="IJ271" s="64"/>
      <c r="IK271" s="64"/>
      <c r="IL271" s="64"/>
      <c r="IM271" s="64"/>
      <c r="IN271" s="64"/>
      <c r="IO271" s="64"/>
      <c r="IP271" s="64"/>
      <c r="IQ271" s="64"/>
      <c r="IR271" s="64"/>
      <c r="IS271" s="64"/>
      <c r="IT271" s="64"/>
      <c r="IU271" s="64"/>
      <c r="IV271" s="64"/>
      <c r="IW271" s="64"/>
      <c r="IX271" s="64"/>
      <c r="IY271" s="64"/>
      <c r="IZ271" s="64"/>
      <c r="JA271" s="64"/>
      <c r="JB271" s="64"/>
      <c r="JC271" s="64"/>
      <c r="JD271" s="64"/>
      <c r="JE271" s="64"/>
      <c r="JF271" s="64"/>
      <c r="JG271" s="64"/>
      <c r="JH271" s="64"/>
      <c r="JI271" s="64"/>
    </row>
    <row r="272" spans="1:269" s="920" customFormat="1" x14ac:dyDescent="0.2">
      <c r="A272" s="116"/>
      <c r="B272" s="64"/>
      <c r="C272" s="64"/>
      <c r="D272" s="64"/>
      <c r="E272" s="64"/>
      <c r="F272" s="64"/>
      <c r="G272" s="64"/>
      <c r="H272" s="64"/>
      <c r="I272" s="64"/>
      <c r="J272" s="116"/>
      <c r="K272" s="116"/>
      <c r="L272" s="116"/>
      <c r="M272" s="116"/>
      <c r="N272" s="116"/>
      <c r="O272" s="116"/>
      <c r="P272" s="116"/>
      <c r="Q272" s="102"/>
      <c r="R272" s="102"/>
      <c r="S272" s="102"/>
      <c r="T272" s="102"/>
      <c r="U272" s="913"/>
      <c r="V272" s="114"/>
      <c r="W272" s="805"/>
      <c r="X272" s="805"/>
      <c r="Y272" s="805"/>
      <c r="Z272" s="914"/>
      <c r="AA272" s="102"/>
      <c r="AB272" s="102"/>
      <c r="AC272" s="102"/>
      <c r="AD272" s="102"/>
      <c r="AE272" s="102"/>
      <c r="AF272" s="102"/>
      <c r="AG272" s="102"/>
      <c r="AH272" s="102"/>
      <c r="AI272" s="102"/>
      <c r="AJ272" s="906"/>
      <c r="AK272" s="102"/>
      <c r="AL272" s="915"/>
      <c r="AM272" s="915"/>
      <c r="AN272" s="114"/>
      <c r="AO272" s="64"/>
      <c r="AP272" s="64"/>
      <c r="AQ272" s="64"/>
      <c r="AR272" s="916"/>
      <c r="AS272" s="916"/>
      <c r="AT272" s="916"/>
      <c r="AU272" s="917"/>
      <c r="AV272" s="917"/>
      <c r="AW272" s="917"/>
      <c r="AX272" s="918"/>
      <c r="AY272" s="916"/>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917"/>
      <c r="CA272" s="917"/>
      <c r="CB272" s="64"/>
      <c r="CC272" s="919"/>
      <c r="CD272" s="919"/>
      <c r="CE272" s="64"/>
      <c r="CF272" s="528"/>
      <c r="CG272" s="529"/>
      <c r="CH272" s="64"/>
      <c r="CI272" s="64"/>
      <c r="CJ272" s="64"/>
      <c r="CK272" s="64"/>
      <c r="CL272" s="64"/>
      <c r="CM272" s="64"/>
      <c r="CN272" s="64"/>
      <c r="CO272" s="64"/>
      <c r="CP272" s="64"/>
      <c r="CQ272" s="64"/>
      <c r="CR272" s="64"/>
      <c r="CS272" s="64"/>
      <c r="CT272" s="64"/>
      <c r="CU272" s="64"/>
      <c r="CV272" s="64"/>
      <c r="CW272" s="64"/>
      <c r="CX272" s="64"/>
      <c r="CY272" s="1011"/>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c r="FC272" s="64"/>
      <c r="FD272" s="64"/>
      <c r="FE272" s="64"/>
      <c r="FF272" s="64"/>
      <c r="FG272" s="64"/>
      <c r="FH272" s="64"/>
      <c r="FI272" s="64"/>
      <c r="FJ272" s="64"/>
      <c r="FK272" s="64"/>
      <c r="FL272" s="64"/>
      <c r="FM272" s="64"/>
      <c r="FN272" s="64"/>
      <c r="FO272" s="64"/>
      <c r="FP272" s="64"/>
      <c r="FQ272" s="64"/>
      <c r="FR272" s="64"/>
      <c r="FS272" s="64"/>
      <c r="FT272" s="64"/>
      <c r="FU272" s="64"/>
      <c r="FV272" s="64"/>
      <c r="FW272" s="64"/>
      <c r="FX272" s="64"/>
      <c r="FY272" s="64"/>
      <c r="FZ272" s="64"/>
      <c r="GA272" s="64"/>
      <c r="GB272" s="64"/>
      <c r="GC272" s="64"/>
      <c r="GD272" s="64"/>
      <c r="GE272" s="64"/>
      <c r="GF272" s="64"/>
      <c r="GG272" s="64"/>
      <c r="GH272" s="64"/>
      <c r="GI272" s="64"/>
      <c r="GJ272" s="64"/>
      <c r="GK272" s="64"/>
      <c r="GL272" s="64"/>
      <c r="GM272" s="64"/>
      <c r="GN272" s="64"/>
      <c r="GO272" s="64"/>
      <c r="GP272" s="64"/>
      <c r="GQ272" s="64"/>
      <c r="GR272" s="64"/>
      <c r="GS272" s="64"/>
      <c r="GT272" s="64"/>
      <c r="GU272" s="64"/>
      <c r="GV272" s="64"/>
      <c r="GW272" s="64"/>
      <c r="GX272" s="64"/>
      <c r="GY272" s="64"/>
      <c r="GZ272" s="64"/>
      <c r="HA272" s="64"/>
      <c r="HB272" s="64"/>
      <c r="HC272" s="64"/>
      <c r="HD272" s="64"/>
      <c r="HE272" s="64"/>
      <c r="HF272" s="64"/>
      <c r="HG272" s="64"/>
      <c r="HH272" s="64"/>
      <c r="HI272" s="64"/>
      <c r="HJ272" s="64"/>
      <c r="HK272" s="64"/>
      <c r="HL272" s="64"/>
      <c r="HM272" s="64"/>
      <c r="HN272" s="64"/>
      <c r="HO272" s="64"/>
      <c r="HP272" s="64"/>
      <c r="HQ272" s="64"/>
      <c r="HR272" s="64"/>
      <c r="HS272" s="64"/>
      <c r="HT272" s="64"/>
      <c r="HU272" s="64"/>
      <c r="HV272" s="64"/>
      <c r="HW272" s="64"/>
      <c r="HX272" s="64"/>
      <c r="HY272" s="64"/>
      <c r="HZ272" s="64"/>
      <c r="IA272" s="64"/>
      <c r="IB272" s="64"/>
      <c r="IC272" s="64"/>
      <c r="ID272" s="64"/>
      <c r="IE272" s="64"/>
      <c r="IF272" s="64"/>
      <c r="IG272" s="64"/>
      <c r="IH272" s="64"/>
      <c r="II272" s="64"/>
      <c r="IJ272" s="64"/>
      <c r="IK272" s="64"/>
      <c r="IL272" s="64"/>
      <c r="IM272" s="64"/>
      <c r="IN272" s="64"/>
      <c r="IO272" s="64"/>
      <c r="IP272" s="64"/>
      <c r="IQ272" s="64"/>
      <c r="IR272" s="64"/>
      <c r="IS272" s="64"/>
      <c r="IT272" s="64"/>
      <c r="IU272" s="64"/>
      <c r="IV272" s="64"/>
      <c r="IW272" s="64"/>
      <c r="IX272" s="64"/>
      <c r="IY272" s="64"/>
      <c r="IZ272" s="64"/>
      <c r="JA272" s="64"/>
      <c r="JB272" s="64"/>
      <c r="JC272" s="64"/>
      <c r="JD272" s="64"/>
      <c r="JE272" s="64"/>
      <c r="JF272" s="64"/>
      <c r="JG272" s="64"/>
      <c r="JH272" s="64"/>
      <c r="JI272" s="64"/>
    </row>
    <row r="273" spans="1:269" s="920" customFormat="1" x14ac:dyDescent="0.2">
      <c r="A273" s="116"/>
      <c r="B273" s="64"/>
      <c r="C273" s="64"/>
      <c r="D273" s="64"/>
      <c r="E273" s="64"/>
      <c r="F273" s="64"/>
      <c r="G273" s="64"/>
      <c r="H273" s="64"/>
      <c r="I273" s="64"/>
      <c r="J273" s="116"/>
      <c r="K273" s="116"/>
      <c r="L273" s="116"/>
      <c r="M273" s="116"/>
      <c r="N273" s="116"/>
      <c r="O273" s="116"/>
      <c r="P273" s="116"/>
      <c r="Q273" s="102"/>
      <c r="R273" s="102"/>
      <c r="S273" s="102"/>
      <c r="T273" s="102"/>
      <c r="U273" s="913"/>
      <c r="V273" s="114"/>
      <c r="W273" s="805"/>
      <c r="X273" s="805"/>
      <c r="Y273" s="805"/>
      <c r="Z273" s="914"/>
      <c r="AA273" s="102"/>
      <c r="AB273" s="102"/>
      <c r="AC273" s="102"/>
      <c r="AD273" s="102"/>
      <c r="AE273" s="102"/>
      <c r="AF273" s="102"/>
      <c r="AG273" s="102"/>
      <c r="AH273" s="102"/>
      <c r="AI273" s="102"/>
      <c r="AJ273" s="906"/>
      <c r="AK273" s="102"/>
      <c r="AL273" s="915"/>
      <c r="AM273" s="915"/>
      <c r="AN273" s="114"/>
      <c r="AO273" s="64"/>
      <c r="AP273" s="64"/>
      <c r="AQ273" s="64"/>
      <c r="AR273" s="916"/>
      <c r="AS273" s="916"/>
      <c r="AT273" s="916"/>
      <c r="AU273" s="917"/>
      <c r="AV273" s="917"/>
      <c r="AW273" s="917"/>
      <c r="AX273" s="918"/>
      <c r="AY273" s="916"/>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917"/>
      <c r="CA273" s="917"/>
      <c r="CB273" s="64"/>
      <c r="CC273" s="919"/>
      <c r="CD273" s="919"/>
      <c r="CE273" s="64"/>
      <c r="CF273" s="528"/>
      <c r="CG273" s="529"/>
      <c r="CH273" s="64"/>
      <c r="CI273" s="64"/>
      <c r="CJ273" s="64"/>
      <c r="CK273" s="64"/>
      <c r="CL273" s="64"/>
      <c r="CM273" s="64"/>
      <c r="CN273" s="64"/>
      <c r="CO273" s="64"/>
      <c r="CP273" s="64"/>
      <c r="CQ273" s="64"/>
      <c r="CR273" s="64"/>
      <c r="CS273" s="64"/>
      <c r="CT273" s="64"/>
      <c r="CU273" s="64"/>
      <c r="CV273" s="64"/>
      <c r="CW273" s="64"/>
      <c r="CX273" s="64"/>
      <c r="CY273" s="1011"/>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c r="FC273" s="64"/>
      <c r="FD273" s="64"/>
      <c r="FE273" s="64"/>
      <c r="FF273" s="64"/>
      <c r="FG273" s="64"/>
      <c r="FH273" s="64"/>
      <c r="FI273" s="64"/>
      <c r="FJ273" s="64"/>
      <c r="FK273" s="64"/>
      <c r="FL273" s="64"/>
      <c r="FM273" s="64"/>
      <c r="FN273" s="64"/>
      <c r="FO273" s="64"/>
      <c r="FP273" s="64"/>
      <c r="FQ273" s="64"/>
      <c r="FR273" s="64"/>
      <c r="FS273" s="64"/>
      <c r="FT273" s="64"/>
      <c r="FU273" s="64"/>
      <c r="FV273" s="64"/>
      <c r="FW273" s="64"/>
      <c r="FX273" s="64"/>
      <c r="FY273" s="64"/>
      <c r="FZ273" s="64"/>
      <c r="GA273" s="64"/>
      <c r="GB273" s="64"/>
      <c r="GC273" s="64"/>
      <c r="GD273" s="64"/>
      <c r="GE273" s="64"/>
      <c r="GF273" s="64"/>
      <c r="GG273" s="64"/>
      <c r="GH273" s="64"/>
      <c r="GI273" s="64"/>
      <c r="GJ273" s="64"/>
      <c r="GK273" s="64"/>
      <c r="GL273" s="64"/>
      <c r="GM273" s="64"/>
      <c r="GN273" s="64"/>
      <c r="GO273" s="64"/>
      <c r="GP273" s="64"/>
      <c r="GQ273" s="64"/>
      <c r="GR273" s="64"/>
      <c r="GS273" s="64"/>
      <c r="GT273" s="64"/>
      <c r="GU273" s="64"/>
      <c r="GV273" s="64"/>
      <c r="GW273" s="64"/>
      <c r="GX273" s="64"/>
      <c r="GY273" s="64"/>
      <c r="GZ273" s="64"/>
      <c r="HA273" s="64"/>
      <c r="HB273" s="64"/>
      <c r="HC273" s="64"/>
      <c r="HD273" s="64"/>
      <c r="HE273" s="64"/>
      <c r="HF273" s="64"/>
      <c r="HG273" s="64"/>
      <c r="HH273" s="64"/>
      <c r="HI273" s="64"/>
      <c r="HJ273" s="64"/>
      <c r="HK273" s="64"/>
      <c r="HL273" s="64"/>
      <c r="HM273" s="64"/>
      <c r="HN273" s="64"/>
      <c r="HO273" s="64"/>
      <c r="HP273" s="64"/>
      <c r="HQ273" s="64"/>
      <c r="HR273" s="64"/>
      <c r="HS273" s="64"/>
      <c r="HT273" s="64"/>
      <c r="HU273" s="64"/>
      <c r="HV273" s="64"/>
      <c r="HW273" s="64"/>
      <c r="HX273" s="64"/>
      <c r="HY273" s="64"/>
      <c r="HZ273" s="64"/>
      <c r="IA273" s="64"/>
      <c r="IB273" s="64"/>
      <c r="IC273" s="64"/>
      <c r="ID273" s="64"/>
      <c r="IE273" s="64"/>
      <c r="IF273" s="64"/>
      <c r="IG273" s="64"/>
      <c r="IH273" s="64"/>
      <c r="II273" s="64"/>
      <c r="IJ273" s="64"/>
      <c r="IK273" s="64"/>
      <c r="IL273" s="64"/>
      <c r="IM273" s="64"/>
      <c r="IN273" s="64"/>
      <c r="IO273" s="64"/>
      <c r="IP273" s="64"/>
      <c r="IQ273" s="64"/>
      <c r="IR273" s="64"/>
      <c r="IS273" s="64"/>
      <c r="IT273" s="64"/>
      <c r="IU273" s="64"/>
      <c r="IV273" s="64"/>
      <c r="IW273" s="64"/>
      <c r="IX273" s="64"/>
      <c r="IY273" s="64"/>
      <c r="IZ273" s="64"/>
      <c r="JA273" s="64"/>
      <c r="JB273" s="64"/>
      <c r="JC273" s="64"/>
      <c r="JD273" s="64"/>
      <c r="JE273" s="64"/>
      <c r="JF273" s="64"/>
      <c r="JG273" s="64"/>
      <c r="JH273" s="64"/>
      <c r="JI273" s="64"/>
    </row>
    <row r="274" spans="1:269" s="920" customFormat="1" x14ac:dyDescent="0.2">
      <c r="A274" s="116"/>
      <c r="B274" s="64"/>
      <c r="C274" s="64"/>
      <c r="D274" s="64"/>
      <c r="E274" s="64"/>
      <c r="F274" s="64"/>
      <c r="G274" s="64"/>
      <c r="H274" s="64"/>
      <c r="I274" s="64"/>
      <c r="J274" s="116"/>
      <c r="K274" s="116"/>
      <c r="L274" s="116"/>
      <c r="M274" s="116"/>
      <c r="N274" s="116"/>
      <c r="O274" s="116"/>
      <c r="P274" s="116"/>
      <c r="Q274" s="102"/>
      <c r="R274" s="102"/>
      <c r="S274" s="102"/>
      <c r="T274" s="102"/>
      <c r="U274" s="913"/>
      <c r="V274" s="114"/>
      <c r="W274" s="805"/>
      <c r="X274" s="805"/>
      <c r="Y274" s="805"/>
      <c r="Z274" s="914"/>
      <c r="AA274" s="102"/>
      <c r="AB274" s="102"/>
      <c r="AC274" s="102"/>
      <c r="AD274" s="102"/>
      <c r="AE274" s="102"/>
      <c r="AF274" s="102"/>
      <c r="AG274" s="102"/>
      <c r="AH274" s="102"/>
      <c r="AI274" s="102"/>
      <c r="AJ274" s="906"/>
      <c r="AK274" s="102"/>
      <c r="AL274" s="915"/>
      <c r="AM274" s="915"/>
      <c r="AN274" s="114"/>
      <c r="AO274" s="64"/>
      <c r="AP274" s="64"/>
      <c r="AQ274" s="64"/>
      <c r="AR274" s="916"/>
      <c r="AS274" s="916"/>
      <c r="AT274" s="916"/>
      <c r="AU274" s="917"/>
      <c r="AV274" s="917"/>
      <c r="AW274" s="917"/>
      <c r="AX274" s="918"/>
      <c r="AY274" s="916"/>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917"/>
      <c r="CA274" s="917"/>
      <c r="CB274" s="64"/>
      <c r="CC274" s="919"/>
      <c r="CD274" s="919"/>
      <c r="CE274" s="64"/>
      <c r="CF274" s="528"/>
      <c r="CG274" s="529"/>
      <c r="CH274" s="64"/>
      <c r="CI274" s="64"/>
      <c r="CJ274" s="64"/>
      <c r="CK274" s="64"/>
      <c r="CL274" s="64"/>
      <c r="CM274" s="64"/>
      <c r="CN274" s="64"/>
      <c r="CO274" s="64"/>
      <c r="CP274" s="64"/>
      <c r="CQ274" s="64"/>
      <c r="CR274" s="64"/>
      <c r="CS274" s="64"/>
      <c r="CT274" s="64"/>
      <c r="CU274" s="64"/>
      <c r="CV274" s="64"/>
      <c r="CW274" s="64"/>
      <c r="CX274" s="64"/>
      <c r="CY274" s="1011"/>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c r="FC274" s="64"/>
      <c r="FD274" s="64"/>
      <c r="FE274" s="64"/>
      <c r="FF274" s="64"/>
      <c r="FG274" s="64"/>
      <c r="FH274" s="64"/>
      <c r="FI274" s="64"/>
      <c r="FJ274" s="64"/>
      <c r="FK274" s="64"/>
      <c r="FL274" s="64"/>
      <c r="FM274" s="64"/>
      <c r="FN274" s="64"/>
      <c r="FO274" s="64"/>
      <c r="FP274" s="64"/>
      <c r="FQ274" s="64"/>
      <c r="FR274" s="64"/>
      <c r="FS274" s="64"/>
      <c r="FT274" s="64"/>
      <c r="FU274" s="64"/>
      <c r="FV274" s="64"/>
      <c r="FW274" s="64"/>
      <c r="FX274" s="64"/>
      <c r="FY274" s="64"/>
      <c r="FZ274" s="64"/>
      <c r="GA274" s="64"/>
      <c r="GB274" s="64"/>
      <c r="GC274" s="64"/>
      <c r="GD274" s="64"/>
      <c r="GE274" s="64"/>
      <c r="GF274" s="64"/>
      <c r="GG274" s="64"/>
      <c r="GH274" s="64"/>
      <c r="GI274" s="64"/>
      <c r="GJ274" s="64"/>
      <c r="GK274" s="64"/>
      <c r="GL274" s="64"/>
      <c r="GM274" s="64"/>
      <c r="GN274" s="64"/>
      <c r="GO274" s="64"/>
      <c r="GP274" s="64"/>
      <c r="GQ274" s="64"/>
      <c r="GR274" s="64"/>
      <c r="GS274" s="64"/>
      <c r="GT274" s="64"/>
      <c r="GU274" s="64"/>
      <c r="GV274" s="64"/>
      <c r="GW274" s="64"/>
      <c r="GX274" s="64"/>
      <c r="GY274" s="64"/>
      <c r="GZ274" s="64"/>
      <c r="HA274" s="64"/>
      <c r="HB274" s="64"/>
      <c r="HC274" s="64"/>
      <c r="HD274" s="64"/>
      <c r="HE274" s="64"/>
      <c r="HF274" s="64"/>
      <c r="HG274" s="64"/>
      <c r="HH274" s="64"/>
      <c r="HI274" s="64"/>
      <c r="HJ274" s="64"/>
      <c r="HK274" s="64"/>
      <c r="HL274" s="64"/>
      <c r="HM274" s="64"/>
      <c r="HN274" s="64"/>
      <c r="HO274" s="64"/>
      <c r="HP274" s="64"/>
      <c r="HQ274" s="64"/>
      <c r="HR274" s="64"/>
      <c r="HS274" s="64"/>
      <c r="HT274" s="64"/>
      <c r="HU274" s="64"/>
      <c r="HV274" s="64"/>
      <c r="HW274" s="64"/>
      <c r="HX274" s="64"/>
      <c r="HY274" s="64"/>
      <c r="HZ274" s="64"/>
      <c r="IA274" s="64"/>
      <c r="IB274" s="64"/>
      <c r="IC274" s="64"/>
      <c r="ID274" s="64"/>
      <c r="IE274" s="64"/>
      <c r="IF274" s="64"/>
      <c r="IG274" s="64"/>
      <c r="IH274" s="64"/>
      <c r="II274" s="64"/>
      <c r="IJ274" s="64"/>
      <c r="IK274" s="64"/>
      <c r="IL274" s="64"/>
      <c r="IM274" s="64"/>
      <c r="IN274" s="64"/>
      <c r="IO274" s="64"/>
      <c r="IP274" s="64"/>
      <c r="IQ274" s="64"/>
      <c r="IR274" s="64"/>
      <c r="IS274" s="64"/>
      <c r="IT274" s="64"/>
      <c r="IU274" s="64"/>
      <c r="IV274" s="64"/>
      <c r="IW274" s="64"/>
      <c r="IX274" s="64"/>
      <c r="IY274" s="64"/>
      <c r="IZ274" s="64"/>
      <c r="JA274" s="64"/>
      <c r="JB274" s="64"/>
      <c r="JC274" s="64"/>
      <c r="JD274" s="64"/>
      <c r="JE274" s="64"/>
      <c r="JF274" s="64"/>
      <c r="JG274" s="64"/>
      <c r="JH274" s="64"/>
      <c r="JI274" s="64"/>
    </row>
    <row r="275" spans="1:269" s="920" customFormat="1" x14ac:dyDescent="0.2">
      <c r="A275" s="116"/>
      <c r="B275" s="64"/>
      <c r="C275" s="64"/>
      <c r="D275" s="64"/>
      <c r="E275" s="64"/>
      <c r="F275" s="64"/>
      <c r="G275" s="64"/>
      <c r="H275" s="64"/>
      <c r="I275" s="64"/>
      <c r="J275" s="116"/>
      <c r="K275" s="116"/>
      <c r="L275" s="116"/>
      <c r="M275" s="116"/>
      <c r="N275" s="116"/>
      <c r="O275" s="116"/>
      <c r="P275" s="116"/>
      <c r="Q275" s="102"/>
      <c r="R275" s="102"/>
      <c r="S275" s="102"/>
      <c r="T275" s="102"/>
      <c r="U275" s="913"/>
      <c r="V275" s="114"/>
      <c r="W275" s="805"/>
      <c r="X275" s="805"/>
      <c r="Y275" s="805"/>
      <c r="Z275" s="914"/>
      <c r="AA275" s="102"/>
      <c r="AB275" s="102"/>
      <c r="AC275" s="102"/>
      <c r="AD275" s="102"/>
      <c r="AE275" s="102"/>
      <c r="AF275" s="102"/>
      <c r="AG275" s="102"/>
      <c r="AH275" s="102"/>
      <c r="AI275" s="102"/>
      <c r="AJ275" s="906"/>
      <c r="AK275" s="102"/>
      <c r="AL275" s="915"/>
      <c r="AM275" s="915"/>
      <c r="AN275" s="114"/>
      <c r="AO275" s="64"/>
      <c r="AP275" s="64"/>
      <c r="AQ275" s="64"/>
      <c r="AR275" s="916"/>
      <c r="AS275" s="916"/>
      <c r="AT275" s="916"/>
      <c r="AU275" s="917"/>
      <c r="AV275" s="917"/>
      <c r="AW275" s="917"/>
      <c r="AX275" s="918"/>
      <c r="AY275" s="916"/>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917"/>
      <c r="CA275" s="917"/>
      <c r="CB275" s="64"/>
      <c r="CC275" s="919"/>
      <c r="CD275" s="919"/>
      <c r="CE275" s="64"/>
      <c r="CF275" s="528"/>
      <c r="CG275" s="529"/>
      <c r="CH275" s="64"/>
      <c r="CI275" s="64"/>
      <c r="CJ275" s="64"/>
      <c r="CK275" s="64"/>
      <c r="CL275" s="64"/>
      <c r="CM275" s="64"/>
      <c r="CN275" s="64"/>
      <c r="CO275" s="64"/>
      <c r="CP275" s="64"/>
      <c r="CQ275" s="64"/>
      <c r="CR275" s="64"/>
      <c r="CS275" s="64"/>
      <c r="CT275" s="64"/>
      <c r="CU275" s="64"/>
      <c r="CV275" s="64"/>
      <c r="CW275" s="64"/>
      <c r="CX275" s="64"/>
      <c r="CY275" s="1011"/>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c r="FC275" s="64"/>
      <c r="FD275" s="64"/>
      <c r="FE275" s="64"/>
      <c r="FF275" s="64"/>
      <c r="FG275" s="64"/>
      <c r="FH275" s="64"/>
      <c r="FI275" s="64"/>
      <c r="FJ275" s="64"/>
      <c r="FK275" s="64"/>
      <c r="FL275" s="64"/>
      <c r="FM275" s="64"/>
      <c r="FN275" s="64"/>
      <c r="FO275" s="64"/>
      <c r="FP275" s="64"/>
      <c r="FQ275" s="64"/>
      <c r="FR275" s="64"/>
      <c r="FS275" s="64"/>
      <c r="FT275" s="64"/>
      <c r="FU275" s="64"/>
      <c r="FV275" s="64"/>
      <c r="FW275" s="64"/>
      <c r="FX275" s="64"/>
      <c r="FY275" s="64"/>
      <c r="FZ275" s="64"/>
      <c r="GA275" s="64"/>
      <c r="GB275" s="64"/>
      <c r="GC275" s="64"/>
      <c r="GD275" s="64"/>
      <c r="GE275" s="64"/>
      <c r="GF275" s="64"/>
      <c r="GG275" s="64"/>
      <c r="GH275" s="64"/>
      <c r="GI275" s="64"/>
      <c r="GJ275" s="64"/>
      <c r="GK275" s="64"/>
      <c r="GL275" s="64"/>
      <c r="GM275" s="64"/>
      <c r="GN275" s="64"/>
      <c r="GO275" s="64"/>
      <c r="GP275" s="64"/>
      <c r="GQ275" s="64"/>
      <c r="GR275" s="64"/>
      <c r="GS275" s="64"/>
      <c r="GT275" s="64"/>
      <c r="GU275" s="64"/>
      <c r="GV275" s="64"/>
      <c r="GW275" s="64"/>
      <c r="GX275" s="64"/>
      <c r="GY275" s="64"/>
      <c r="GZ275" s="64"/>
      <c r="HA275" s="64"/>
      <c r="HB275" s="64"/>
      <c r="HC275" s="64"/>
      <c r="HD275" s="64"/>
      <c r="HE275" s="64"/>
      <c r="HF275" s="64"/>
      <c r="HG275" s="64"/>
      <c r="HH275" s="64"/>
      <c r="HI275" s="64"/>
      <c r="HJ275" s="64"/>
      <c r="HK275" s="64"/>
      <c r="HL275" s="64"/>
      <c r="HM275" s="64"/>
      <c r="HN275" s="64"/>
      <c r="HO275" s="64"/>
      <c r="HP275" s="64"/>
      <c r="HQ275" s="64"/>
      <c r="HR275" s="64"/>
      <c r="HS275" s="64"/>
      <c r="HT275" s="64"/>
      <c r="HU275" s="64"/>
      <c r="HV275" s="64"/>
      <c r="HW275" s="64"/>
      <c r="HX275" s="64"/>
      <c r="HY275" s="64"/>
      <c r="HZ275" s="64"/>
      <c r="IA275" s="64"/>
      <c r="IB275" s="64"/>
      <c r="IC275" s="64"/>
      <c r="ID275" s="64"/>
      <c r="IE275" s="64"/>
      <c r="IF275" s="64"/>
      <c r="IG275" s="64"/>
      <c r="IH275" s="64"/>
      <c r="II275" s="64"/>
      <c r="IJ275" s="64"/>
      <c r="IK275" s="64"/>
      <c r="IL275" s="64"/>
      <c r="IM275" s="64"/>
      <c r="IN275" s="64"/>
      <c r="IO275" s="64"/>
      <c r="IP275" s="64"/>
      <c r="IQ275" s="64"/>
      <c r="IR275" s="64"/>
      <c r="IS275" s="64"/>
      <c r="IT275" s="64"/>
      <c r="IU275" s="64"/>
      <c r="IV275" s="64"/>
      <c r="IW275" s="64"/>
      <c r="IX275" s="64"/>
      <c r="IY275" s="64"/>
      <c r="IZ275" s="64"/>
      <c r="JA275" s="64"/>
      <c r="JB275" s="64"/>
      <c r="JC275" s="64"/>
      <c r="JD275" s="64"/>
      <c r="JE275" s="64"/>
      <c r="JF275" s="64"/>
      <c r="JG275" s="64"/>
      <c r="JH275" s="64"/>
      <c r="JI275" s="64"/>
    </row>
    <row r="276" spans="1:269" s="920" customFormat="1" x14ac:dyDescent="0.2">
      <c r="A276" s="116"/>
      <c r="B276" s="64"/>
      <c r="C276" s="64"/>
      <c r="D276" s="64"/>
      <c r="E276" s="64"/>
      <c r="F276" s="64"/>
      <c r="G276" s="64"/>
      <c r="H276" s="64"/>
      <c r="I276" s="64"/>
      <c r="J276" s="116"/>
      <c r="K276" s="116"/>
      <c r="L276" s="116"/>
      <c r="M276" s="116"/>
      <c r="N276" s="116"/>
      <c r="O276" s="116"/>
      <c r="P276" s="116"/>
      <c r="Q276" s="102"/>
      <c r="R276" s="102"/>
      <c r="S276" s="102"/>
      <c r="T276" s="102"/>
      <c r="U276" s="913"/>
      <c r="V276" s="114"/>
      <c r="W276" s="805"/>
      <c r="X276" s="805"/>
      <c r="Y276" s="805"/>
      <c r="Z276" s="914"/>
      <c r="AA276" s="102"/>
      <c r="AB276" s="102"/>
      <c r="AC276" s="102"/>
      <c r="AD276" s="102"/>
      <c r="AE276" s="102"/>
      <c r="AF276" s="102"/>
      <c r="AG276" s="102"/>
      <c r="AH276" s="102"/>
      <c r="AI276" s="102"/>
      <c r="AJ276" s="906"/>
      <c r="AK276" s="102"/>
      <c r="AL276" s="915"/>
      <c r="AM276" s="915"/>
      <c r="AN276" s="114"/>
      <c r="AO276" s="64"/>
      <c r="AP276" s="64"/>
      <c r="AQ276" s="64"/>
      <c r="AR276" s="916"/>
      <c r="AS276" s="916"/>
      <c r="AT276" s="916"/>
      <c r="AU276" s="917"/>
      <c r="AV276" s="917"/>
      <c r="AW276" s="917"/>
      <c r="AX276" s="918"/>
      <c r="AY276" s="916"/>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917"/>
      <c r="CA276" s="917"/>
      <c r="CB276" s="64"/>
      <c r="CC276" s="919"/>
      <c r="CD276" s="919"/>
      <c r="CE276" s="64"/>
      <c r="CF276" s="528"/>
      <c r="CG276" s="529"/>
      <c r="CH276" s="64"/>
      <c r="CI276" s="64"/>
      <c r="CJ276" s="64"/>
      <c r="CK276" s="64"/>
      <c r="CL276" s="64"/>
      <c r="CM276" s="64"/>
      <c r="CN276" s="64"/>
      <c r="CO276" s="64"/>
      <c r="CP276" s="64"/>
      <c r="CQ276" s="64"/>
      <c r="CR276" s="64"/>
      <c r="CS276" s="64"/>
      <c r="CT276" s="64"/>
      <c r="CU276" s="64"/>
      <c r="CV276" s="64"/>
      <c r="CW276" s="64"/>
      <c r="CX276" s="64"/>
      <c r="CY276" s="1011"/>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c r="FC276" s="64"/>
      <c r="FD276" s="64"/>
      <c r="FE276" s="64"/>
      <c r="FF276" s="64"/>
      <c r="FG276" s="64"/>
      <c r="FH276" s="64"/>
      <c r="FI276" s="64"/>
      <c r="FJ276" s="64"/>
      <c r="FK276" s="64"/>
      <c r="FL276" s="64"/>
      <c r="FM276" s="64"/>
      <c r="FN276" s="64"/>
      <c r="FO276" s="64"/>
      <c r="FP276" s="64"/>
      <c r="FQ276" s="64"/>
      <c r="FR276" s="64"/>
      <c r="FS276" s="64"/>
      <c r="FT276" s="64"/>
      <c r="FU276" s="64"/>
      <c r="FV276" s="64"/>
      <c r="FW276" s="64"/>
      <c r="FX276" s="64"/>
      <c r="FY276" s="64"/>
      <c r="FZ276" s="64"/>
      <c r="GA276" s="64"/>
      <c r="GB276" s="64"/>
      <c r="GC276" s="64"/>
      <c r="GD276" s="64"/>
      <c r="GE276" s="64"/>
      <c r="GF276" s="64"/>
      <c r="GG276" s="64"/>
      <c r="GH276" s="64"/>
      <c r="GI276" s="64"/>
      <c r="GJ276" s="64"/>
      <c r="GK276" s="64"/>
      <c r="GL276" s="64"/>
      <c r="GM276" s="64"/>
      <c r="GN276" s="64"/>
      <c r="GO276" s="64"/>
      <c r="GP276" s="64"/>
      <c r="GQ276" s="64"/>
      <c r="GR276" s="64"/>
      <c r="GS276" s="64"/>
      <c r="GT276" s="64"/>
      <c r="GU276" s="64"/>
      <c r="GV276" s="64"/>
      <c r="GW276" s="64"/>
      <c r="GX276" s="64"/>
      <c r="GY276" s="64"/>
      <c r="GZ276" s="64"/>
      <c r="HA276" s="64"/>
      <c r="HB276" s="64"/>
      <c r="HC276" s="64"/>
      <c r="HD276" s="64"/>
      <c r="HE276" s="64"/>
      <c r="HF276" s="64"/>
      <c r="HG276" s="64"/>
      <c r="HH276" s="64"/>
      <c r="HI276" s="64"/>
      <c r="HJ276" s="64"/>
      <c r="HK276" s="64"/>
      <c r="HL276" s="64"/>
      <c r="HM276" s="64"/>
      <c r="HN276" s="64"/>
      <c r="HO276" s="64"/>
      <c r="HP276" s="64"/>
      <c r="HQ276" s="64"/>
      <c r="HR276" s="64"/>
      <c r="HS276" s="64"/>
      <c r="HT276" s="64"/>
      <c r="HU276" s="64"/>
      <c r="HV276" s="64"/>
      <c r="HW276" s="64"/>
      <c r="HX276" s="64"/>
      <c r="HY276" s="64"/>
      <c r="HZ276" s="64"/>
      <c r="IA276" s="64"/>
      <c r="IB276" s="64"/>
      <c r="IC276" s="64"/>
      <c r="ID276" s="64"/>
      <c r="IE276" s="64"/>
      <c r="IF276" s="64"/>
      <c r="IG276" s="64"/>
      <c r="IH276" s="64"/>
      <c r="II276" s="64"/>
      <c r="IJ276" s="64"/>
      <c r="IK276" s="64"/>
      <c r="IL276" s="64"/>
      <c r="IM276" s="64"/>
      <c r="IN276" s="64"/>
      <c r="IO276" s="64"/>
      <c r="IP276" s="64"/>
      <c r="IQ276" s="64"/>
      <c r="IR276" s="64"/>
      <c r="IS276" s="64"/>
      <c r="IT276" s="64"/>
      <c r="IU276" s="64"/>
      <c r="IV276" s="64"/>
      <c r="IW276" s="64"/>
      <c r="IX276" s="64"/>
      <c r="IY276" s="64"/>
      <c r="IZ276" s="64"/>
      <c r="JA276" s="64"/>
      <c r="JB276" s="64"/>
      <c r="JC276" s="64"/>
      <c r="JD276" s="64"/>
      <c r="JE276" s="64"/>
      <c r="JF276" s="64"/>
      <c r="JG276" s="64"/>
      <c r="JH276" s="64"/>
      <c r="JI276" s="64"/>
    </row>
    <row r="277" spans="1:269" s="920" customFormat="1" x14ac:dyDescent="0.2">
      <c r="A277" s="116"/>
      <c r="B277" s="64"/>
      <c r="C277" s="64"/>
      <c r="D277" s="64"/>
      <c r="E277" s="64"/>
      <c r="F277" s="64"/>
      <c r="G277" s="64"/>
      <c r="H277" s="64"/>
      <c r="I277" s="64"/>
      <c r="J277" s="116"/>
      <c r="K277" s="116"/>
      <c r="L277" s="116"/>
      <c r="M277" s="116"/>
      <c r="N277" s="116"/>
      <c r="O277" s="116"/>
      <c r="P277" s="116"/>
      <c r="Q277" s="102"/>
      <c r="R277" s="102"/>
      <c r="S277" s="102"/>
      <c r="T277" s="102"/>
      <c r="U277" s="913"/>
      <c r="V277" s="114"/>
      <c r="W277" s="805"/>
      <c r="X277" s="805"/>
      <c r="Y277" s="805"/>
      <c r="Z277" s="914"/>
      <c r="AA277" s="102"/>
      <c r="AB277" s="102"/>
      <c r="AC277" s="102"/>
      <c r="AD277" s="102"/>
      <c r="AE277" s="102"/>
      <c r="AF277" s="102"/>
      <c r="AG277" s="102"/>
      <c r="AH277" s="102"/>
      <c r="AI277" s="102"/>
      <c r="AJ277" s="906"/>
      <c r="AK277" s="102"/>
      <c r="AL277" s="915"/>
      <c r="AM277" s="915"/>
      <c r="AN277" s="114"/>
      <c r="AO277" s="64"/>
      <c r="AP277" s="64"/>
      <c r="AQ277" s="64"/>
      <c r="AR277" s="916"/>
      <c r="AS277" s="916"/>
      <c r="AT277" s="916"/>
      <c r="AU277" s="917"/>
      <c r="AV277" s="917"/>
      <c r="AW277" s="917"/>
      <c r="AX277" s="918"/>
      <c r="AY277" s="916"/>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917"/>
      <c r="CA277" s="917"/>
      <c r="CB277" s="64"/>
      <c r="CC277" s="919"/>
      <c r="CD277" s="919"/>
      <c r="CE277" s="64"/>
      <c r="CF277" s="528"/>
      <c r="CG277" s="529"/>
      <c r="CH277" s="64"/>
      <c r="CI277" s="64"/>
      <c r="CJ277" s="64"/>
      <c r="CK277" s="64"/>
      <c r="CL277" s="64"/>
      <c r="CM277" s="64"/>
      <c r="CN277" s="64"/>
      <c r="CO277" s="64"/>
      <c r="CP277" s="64"/>
      <c r="CQ277" s="64"/>
      <c r="CR277" s="64"/>
      <c r="CS277" s="64"/>
      <c r="CT277" s="64"/>
      <c r="CU277" s="64"/>
      <c r="CV277" s="64"/>
      <c r="CW277" s="64"/>
      <c r="CX277" s="64"/>
      <c r="CY277" s="1011"/>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c r="FC277" s="64"/>
      <c r="FD277" s="64"/>
      <c r="FE277" s="64"/>
      <c r="FF277" s="64"/>
      <c r="FG277" s="64"/>
      <c r="FH277" s="64"/>
      <c r="FI277" s="64"/>
      <c r="FJ277" s="64"/>
      <c r="FK277" s="64"/>
      <c r="FL277" s="64"/>
      <c r="FM277" s="64"/>
      <c r="FN277" s="64"/>
      <c r="FO277" s="64"/>
      <c r="FP277" s="64"/>
      <c r="FQ277" s="64"/>
      <c r="FR277" s="64"/>
      <c r="FS277" s="64"/>
      <c r="FT277" s="64"/>
      <c r="FU277" s="64"/>
      <c r="FV277" s="64"/>
      <c r="FW277" s="64"/>
      <c r="FX277" s="64"/>
      <c r="FY277" s="64"/>
      <c r="FZ277" s="64"/>
      <c r="GA277" s="64"/>
      <c r="GB277" s="64"/>
      <c r="GC277" s="64"/>
      <c r="GD277" s="64"/>
      <c r="GE277" s="64"/>
      <c r="GF277" s="64"/>
      <c r="GG277" s="64"/>
      <c r="GH277" s="64"/>
      <c r="GI277" s="64"/>
      <c r="GJ277" s="64"/>
      <c r="GK277" s="64"/>
      <c r="GL277" s="64"/>
      <c r="GM277" s="64"/>
      <c r="GN277" s="64"/>
      <c r="GO277" s="64"/>
      <c r="GP277" s="64"/>
      <c r="GQ277" s="64"/>
      <c r="GR277" s="64"/>
      <c r="GS277" s="64"/>
      <c r="GT277" s="64"/>
      <c r="GU277" s="64"/>
      <c r="GV277" s="64"/>
      <c r="GW277" s="64"/>
      <c r="GX277" s="64"/>
      <c r="GY277" s="64"/>
      <c r="GZ277" s="64"/>
      <c r="HA277" s="64"/>
      <c r="HB277" s="64"/>
      <c r="HC277" s="64"/>
      <c r="HD277" s="64"/>
      <c r="HE277" s="64"/>
      <c r="HF277" s="64"/>
      <c r="HG277" s="64"/>
      <c r="HH277" s="64"/>
      <c r="HI277" s="64"/>
      <c r="HJ277" s="64"/>
      <c r="HK277" s="64"/>
      <c r="HL277" s="64"/>
      <c r="HM277" s="64"/>
      <c r="HN277" s="64"/>
      <c r="HO277" s="64"/>
      <c r="HP277" s="64"/>
      <c r="HQ277" s="64"/>
      <c r="HR277" s="64"/>
      <c r="HS277" s="64"/>
      <c r="HT277" s="64"/>
      <c r="HU277" s="64"/>
      <c r="HV277" s="64"/>
      <c r="HW277" s="64"/>
      <c r="HX277" s="64"/>
      <c r="HY277" s="64"/>
      <c r="HZ277" s="64"/>
      <c r="IA277" s="64"/>
      <c r="IB277" s="64"/>
      <c r="IC277" s="64"/>
      <c r="ID277" s="64"/>
      <c r="IE277" s="64"/>
      <c r="IF277" s="64"/>
      <c r="IG277" s="64"/>
      <c r="IH277" s="64"/>
      <c r="II277" s="64"/>
      <c r="IJ277" s="64"/>
      <c r="IK277" s="64"/>
      <c r="IL277" s="64"/>
      <c r="IM277" s="64"/>
      <c r="IN277" s="64"/>
      <c r="IO277" s="64"/>
      <c r="IP277" s="64"/>
      <c r="IQ277" s="64"/>
      <c r="IR277" s="64"/>
      <c r="IS277" s="64"/>
      <c r="IT277" s="64"/>
      <c r="IU277" s="64"/>
      <c r="IV277" s="64"/>
      <c r="IW277" s="64"/>
      <c r="IX277" s="64"/>
      <c r="IY277" s="64"/>
      <c r="IZ277" s="64"/>
      <c r="JA277" s="64"/>
      <c r="JB277" s="64"/>
      <c r="JC277" s="64"/>
      <c r="JD277" s="64"/>
      <c r="JE277" s="64"/>
      <c r="JF277" s="64"/>
      <c r="JG277" s="64"/>
      <c r="JH277" s="64"/>
      <c r="JI277" s="64"/>
    </row>
    <row r="278" spans="1:269" s="920" customFormat="1" x14ac:dyDescent="0.2">
      <c r="A278" s="116"/>
      <c r="B278" s="64"/>
      <c r="C278" s="64"/>
      <c r="D278" s="64"/>
      <c r="E278" s="64"/>
      <c r="F278" s="64"/>
      <c r="G278" s="64"/>
      <c r="H278" s="64"/>
      <c r="I278" s="64"/>
      <c r="J278" s="116"/>
      <c r="K278" s="116"/>
      <c r="L278" s="116"/>
      <c r="M278" s="116"/>
      <c r="N278" s="116"/>
      <c r="O278" s="116"/>
      <c r="P278" s="116"/>
      <c r="Q278" s="102"/>
      <c r="R278" s="102"/>
      <c r="S278" s="102"/>
      <c r="T278" s="102"/>
      <c r="U278" s="913"/>
      <c r="V278" s="114"/>
      <c r="W278" s="805"/>
      <c r="X278" s="805"/>
      <c r="Y278" s="805"/>
      <c r="Z278" s="914"/>
      <c r="AA278" s="102"/>
      <c r="AB278" s="102"/>
      <c r="AC278" s="102"/>
      <c r="AD278" s="102"/>
      <c r="AE278" s="102"/>
      <c r="AF278" s="102"/>
      <c r="AG278" s="102"/>
      <c r="AH278" s="102"/>
      <c r="AI278" s="102"/>
      <c r="AJ278" s="906"/>
      <c r="AK278" s="102"/>
      <c r="AL278" s="915"/>
      <c r="AM278" s="915"/>
      <c r="AN278" s="114"/>
      <c r="AO278" s="64"/>
      <c r="AP278" s="64"/>
      <c r="AQ278" s="64"/>
      <c r="AR278" s="916"/>
      <c r="AS278" s="916"/>
      <c r="AT278" s="916"/>
      <c r="AU278" s="917"/>
      <c r="AV278" s="917"/>
      <c r="AW278" s="917"/>
      <c r="AX278" s="918"/>
      <c r="AY278" s="916"/>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917"/>
      <c r="CA278" s="917"/>
      <c r="CB278" s="64"/>
      <c r="CC278" s="919"/>
      <c r="CD278" s="919"/>
      <c r="CE278" s="64"/>
      <c r="CF278" s="528"/>
      <c r="CG278" s="529"/>
      <c r="CH278" s="64"/>
      <c r="CI278" s="64"/>
      <c r="CJ278" s="64"/>
      <c r="CK278" s="64"/>
      <c r="CL278" s="64"/>
      <c r="CM278" s="64"/>
      <c r="CN278" s="64"/>
      <c r="CO278" s="64"/>
      <c r="CP278" s="64"/>
      <c r="CQ278" s="64"/>
      <c r="CR278" s="64"/>
      <c r="CS278" s="64"/>
      <c r="CT278" s="64"/>
      <c r="CU278" s="64"/>
      <c r="CV278" s="64"/>
      <c r="CW278" s="64"/>
      <c r="CX278" s="64"/>
      <c r="CY278" s="1011"/>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c r="FC278" s="64"/>
      <c r="FD278" s="64"/>
      <c r="FE278" s="64"/>
      <c r="FF278" s="64"/>
      <c r="FG278" s="64"/>
      <c r="FH278" s="64"/>
      <c r="FI278" s="64"/>
      <c r="FJ278" s="64"/>
      <c r="FK278" s="64"/>
      <c r="FL278" s="64"/>
      <c r="FM278" s="64"/>
      <c r="FN278" s="64"/>
      <c r="FO278" s="64"/>
      <c r="FP278" s="64"/>
      <c r="FQ278" s="64"/>
      <c r="FR278" s="64"/>
      <c r="FS278" s="64"/>
      <c r="FT278" s="64"/>
      <c r="FU278" s="64"/>
      <c r="FV278" s="64"/>
      <c r="FW278" s="64"/>
      <c r="FX278" s="64"/>
      <c r="FY278" s="64"/>
      <c r="FZ278" s="64"/>
      <c r="GA278" s="64"/>
      <c r="GB278" s="64"/>
      <c r="GC278" s="64"/>
      <c r="GD278" s="64"/>
      <c r="GE278" s="64"/>
      <c r="GF278" s="64"/>
      <c r="GG278" s="64"/>
      <c r="GH278" s="64"/>
      <c r="GI278" s="64"/>
      <c r="GJ278" s="64"/>
      <c r="GK278" s="64"/>
      <c r="GL278" s="64"/>
      <c r="GM278" s="64"/>
      <c r="GN278" s="64"/>
      <c r="GO278" s="64"/>
      <c r="GP278" s="64"/>
      <c r="GQ278" s="64"/>
      <c r="GR278" s="64"/>
      <c r="GS278" s="64"/>
      <c r="GT278" s="64"/>
      <c r="GU278" s="64"/>
      <c r="GV278" s="64"/>
      <c r="GW278" s="64"/>
      <c r="GX278" s="64"/>
      <c r="GY278" s="64"/>
      <c r="GZ278" s="64"/>
      <c r="HA278" s="64"/>
      <c r="HB278" s="64"/>
      <c r="HC278" s="64"/>
      <c r="HD278" s="64"/>
      <c r="HE278" s="64"/>
      <c r="HF278" s="64"/>
      <c r="HG278" s="64"/>
      <c r="HH278" s="64"/>
      <c r="HI278" s="64"/>
      <c r="HJ278" s="64"/>
      <c r="HK278" s="64"/>
      <c r="HL278" s="64"/>
      <c r="HM278" s="64"/>
      <c r="HN278" s="64"/>
      <c r="HO278" s="64"/>
      <c r="HP278" s="64"/>
      <c r="HQ278" s="64"/>
      <c r="HR278" s="64"/>
      <c r="HS278" s="64"/>
      <c r="HT278" s="64"/>
      <c r="HU278" s="64"/>
      <c r="HV278" s="64"/>
      <c r="HW278" s="64"/>
      <c r="HX278" s="64"/>
      <c r="HY278" s="64"/>
      <c r="HZ278" s="64"/>
      <c r="IA278" s="64"/>
      <c r="IB278" s="64"/>
      <c r="IC278" s="64"/>
      <c r="ID278" s="64"/>
      <c r="IE278" s="64"/>
      <c r="IF278" s="64"/>
      <c r="IG278" s="64"/>
      <c r="IH278" s="64"/>
      <c r="II278" s="64"/>
      <c r="IJ278" s="64"/>
      <c r="IK278" s="64"/>
      <c r="IL278" s="64"/>
      <c r="IM278" s="64"/>
      <c r="IN278" s="64"/>
      <c r="IO278" s="64"/>
      <c r="IP278" s="64"/>
      <c r="IQ278" s="64"/>
      <c r="IR278" s="64"/>
      <c r="IS278" s="64"/>
      <c r="IT278" s="64"/>
      <c r="IU278" s="64"/>
      <c r="IV278" s="64"/>
      <c r="IW278" s="64"/>
      <c r="IX278" s="64"/>
      <c r="IY278" s="64"/>
      <c r="IZ278" s="64"/>
      <c r="JA278" s="64"/>
      <c r="JB278" s="64"/>
      <c r="JC278" s="64"/>
      <c r="JD278" s="64"/>
      <c r="JE278" s="64"/>
      <c r="JF278" s="64"/>
      <c r="JG278" s="64"/>
      <c r="JH278" s="64"/>
      <c r="JI278" s="64"/>
    </row>
    <row r="279" spans="1:269" s="920" customFormat="1" x14ac:dyDescent="0.2">
      <c r="A279" s="116"/>
      <c r="B279" s="64"/>
      <c r="C279" s="64"/>
      <c r="D279" s="64"/>
      <c r="E279" s="64"/>
      <c r="F279" s="64"/>
      <c r="G279" s="64"/>
      <c r="H279" s="64"/>
      <c r="I279" s="64"/>
      <c r="J279" s="116"/>
      <c r="K279" s="116"/>
      <c r="L279" s="116"/>
      <c r="M279" s="116"/>
      <c r="N279" s="116"/>
      <c r="O279" s="116"/>
      <c r="P279" s="116"/>
      <c r="Q279" s="102"/>
      <c r="R279" s="102"/>
      <c r="S279" s="102"/>
      <c r="T279" s="102"/>
      <c r="U279" s="913"/>
      <c r="V279" s="114"/>
      <c r="W279" s="805"/>
      <c r="X279" s="805"/>
      <c r="Y279" s="805"/>
      <c r="Z279" s="914"/>
      <c r="AA279" s="102"/>
      <c r="AB279" s="102"/>
      <c r="AC279" s="102"/>
      <c r="AD279" s="102"/>
      <c r="AE279" s="102"/>
      <c r="AF279" s="102"/>
      <c r="AG279" s="102"/>
      <c r="AH279" s="102"/>
      <c r="AI279" s="102"/>
      <c r="AJ279" s="906"/>
      <c r="AK279" s="102"/>
      <c r="AL279" s="915"/>
      <c r="AM279" s="915"/>
      <c r="AN279" s="114"/>
      <c r="AO279" s="64"/>
      <c r="AP279" s="64"/>
      <c r="AQ279" s="64"/>
      <c r="AR279" s="916"/>
      <c r="AS279" s="916"/>
      <c r="AT279" s="916"/>
      <c r="AU279" s="917"/>
      <c r="AV279" s="917"/>
      <c r="AW279" s="917"/>
      <c r="AX279" s="918"/>
      <c r="AY279" s="916"/>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917"/>
      <c r="CA279" s="917"/>
      <c r="CB279" s="64"/>
      <c r="CC279" s="919"/>
      <c r="CD279" s="919"/>
      <c r="CE279" s="64"/>
      <c r="CF279" s="528"/>
      <c r="CG279" s="529"/>
      <c r="CH279" s="64"/>
      <c r="CI279" s="64"/>
      <c r="CJ279" s="64"/>
      <c r="CK279" s="64"/>
      <c r="CL279" s="64"/>
      <c r="CM279" s="64"/>
      <c r="CN279" s="64"/>
      <c r="CO279" s="64"/>
      <c r="CP279" s="64"/>
      <c r="CQ279" s="64"/>
      <c r="CR279" s="64"/>
      <c r="CS279" s="64"/>
      <c r="CT279" s="64"/>
      <c r="CU279" s="64"/>
      <c r="CV279" s="64"/>
      <c r="CW279" s="64"/>
      <c r="CX279" s="64"/>
      <c r="CY279" s="1011"/>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c r="FC279" s="64"/>
      <c r="FD279" s="64"/>
      <c r="FE279" s="64"/>
      <c r="FF279" s="64"/>
      <c r="FG279" s="64"/>
      <c r="FH279" s="64"/>
      <c r="FI279" s="64"/>
      <c r="FJ279" s="64"/>
      <c r="FK279" s="64"/>
      <c r="FL279" s="64"/>
      <c r="FM279" s="64"/>
      <c r="FN279" s="64"/>
      <c r="FO279" s="64"/>
      <c r="FP279" s="64"/>
      <c r="FQ279" s="64"/>
      <c r="FR279" s="64"/>
      <c r="FS279" s="64"/>
      <c r="FT279" s="64"/>
      <c r="FU279" s="64"/>
      <c r="FV279" s="64"/>
      <c r="FW279" s="64"/>
      <c r="FX279" s="64"/>
      <c r="FY279" s="64"/>
      <c r="FZ279" s="64"/>
      <c r="GA279" s="64"/>
      <c r="GB279" s="64"/>
      <c r="GC279" s="64"/>
      <c r="GD279" s="64"/>
      <c r="GE279" s="64"/>
      <c r="GF279" s="64"/>
      <c r="GG279" s="64"/>
      <c r="GH279" s="64"/>
      <c r="GI279" s="64"/>
      <c r="GJ279" s="64"/>
      <c r="GK279" s="64"/>
      <c r="GL279" s="64"/>
      <c r="GM279" s="64"/>
      <c r="GN279" s="64"/>
      <c r="GO279" s="64"/>
      <c r="GP279" s="64"/>
      <c r="GQ279" s="64"/>
      <c r="GR279" s="64"/>
      <c r="GS279" s="64"/>
      <c r="GT279" s="64"/>
      <c r="GU279" s="64"/>
      <c r="GV279" s="64"/>
      <c r="GW279" s="64"/>
      <c r="GX279" s="64"/>
      <c r="GY279" s="64"/>
      <c r="GZ279" s="64"/>
      <c r="HA279" s="64"/>
      <c r="HB279" s="64"/>
      <c r="HC279" s="64"/>
      <c r="HD279" s="64"/>
      <c r="HE279" s="64"/>
      <c r="HF279" s="64"/>
      <c r="HG279" s="64"/>
      <c r="HH279" s="64"/>
      <c r="HI279" s="64"/>
      <c r="HJ279" s="64"/>
      <c r="HK279" s="64"/>
      <c r="HL279" s="64"/>
      <c r="HM279" s="64"/>
      <c r="HN279" s="64"/>
      <c r="HO279" s="64"/>
      <c r="HP279" s="64"/>
      <c r="HQ279" s="64"/>
      <c r="HR279" s="64"/>
      <c r="HS279" s="64"/>
      <c r="HT279" s="64"/>
      <c r="HU279" s="64"/>
      <c r="HV279" s="64"/>
      <c r="HW279" s="64"/>
      <c r="HX279" s="64"/>
      <c r="HY279" s="64"/>
      <c r="HZ279" s="64"/>
      <c r="IA279" s="64"/>
      <c r="IB279" s="64"/>
      <c r="IC279" s="64"/>
      <c r="ID279" s="64"/>
      <c r="IE279" s="64"/>
      <c r="IF279" s="64"/>
      <c r="IG279" s="64"/>
      <c r="IH279" s="64"/>
      <c r="II279" s="64"/>
      <c r="IJ279" s="64"/>
      <c r="IK279" s="64"/>
      <c r="IL279" s="64"/>
      <c r="IM279" s="64"/>
      <c r="IN279" s="64"/>
      <c r="IO279" s="64"/>
      <c r="IP279" s="64"/>
      <c r="IQ279" s="64"/>
      <c r="IR279" s="64"/>
      <c r="IS279" s="64"/>
      <c r="IT279" s="64"/>
      <c r="IU279" s="64"/>
      <c r="IV279" s="64"/>
      <c r="IW279" s="64"/>
      <c r="IX279" s="64"/>
      <c r="IY279" s="64"/>
      <c r="IZ279" s="64"/>
      <c r="JA279" s="64"/>
      <c r="JB279" s="64"/>
      <c r="JC279" s="64"/>
      <c r="JD279" s="64"/>
      <c r="JE279" s="64"/>
      <c r="JF279" s="64"/>
      <c r="JG279" s="64"/>
      <c r="JH279" s="64"/>
      <c r="JI279" s="64"/>
    </row>
    <row r="280" spans="1:269" s="920" customFormat="1" x14ac:dyDescent="0.2">
      <c r="A280" s="116"/>
      <c r="B280" s="64"/>
      <c r="C280" s="64"/>
      <c r="D280" s="64"/>
      <c r="E280" s="64"/>
      <c r="F280" s="64"/>
      <c r="G280" s="64"/>
      <c r="H280" s="64"/>
      <c r="I280" s="64"/>
      <c r="J280" s="116"/>
      <c r="K280" s="116"/>
      <c r="L280" s="116"/>
      <c r="M280" s="116"/>
      <c r="N280" s="116"/>
      <c r="O280" s="116"/>
      <c r="P280" s="116"/>
      <c r="Q280" s="102"/>
      <c r="R280" s="102"/>
      <c r="S280" s="102"/>
      <c r="T280" s="102"/>
      <c r="U280" s="913"/>
      <c r="V280" s="114"/>
      <c r="W280" s="805"/>
      <c r="X280" s="805"/>
      <c r="Y280" s="805"/>
      <c r="Z280" s="914"/>
      <c r="AA280" s="102"/>
      <c r="AB280" s="102"/>
      <c r="AC280" s="102"/>
      <c r="AD280" s="102"/>
      <c r="AE280" s="102"/>
      <c r="AF280" s="102"/>
      <c r="AG280" s="102"/>
      <c r="AH280" s="102"/>
      <c r="AI280" s="102"/>
      <c r="AJ280" s="906"/>
      <c r="AK280" s="102"/>
      <c r="AL280" s="915"/>
      <c r="AM280" s="915"/>
      <c r="AN280" s="114"/>
      <c r="AO280" s="64"/>
      <c r="AP280" s="64"/>
      <c r="AQ280" s="64"/>
      <c r="AR280" s="916"/>
      <c r="AS280" s="916"/>
      <c r="AT280" s="916"/>
      <c r="AU280" s="917"/>
      <c r="AV280" s="917"/>
      <c r="AW280" s="917"/>
      <c r="AX280" s="918"/>
      <c r="AY280" s="916"/>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917"/>
      <c r="CA280" s="917"/>
      <c r="CB280" s="64"/>
      <c r="CC280" s="919"/>
      <c r="CD280" s="919"/>
      <c r="CE280" s="64"/>
      <c r="CF280" s="528"/>
      <c r="CG280" s="529"/>
      <c r="CH280" s="64"/>
      <c r="CI280" s="64"/>
      <c r="CJ280" s="64"/>
      <c r="CK280" s="64"/>
      <c r="CL280" s="64"/>
      <c r="CM280" s="64"/>
      <c r="CN280" s="64"/>
      <c r="CO280" s="64"/>
      <c r="CP280" s="64"/>
      <c r="CQ280" s="64"/>
      <c r="CR280" s="64"/>
      <c r="CS280" s="64"/>
      <c r="CT280" s="64"/>
      <c r="CU280" s="64"/>
      <c r="CV280" s="64"/>
      <c r="CW280" s="64"/>
      <c r="CX280" s="64"/>
      <c r="CY280" s="1011"/>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c r="FC280" s="64"/>
      <c r="FD280" s="64"/>
      <c r="FE280" s="64"/>
      <c r="FF280" s="64"/>
      <c r="FG280" s="64"/>
      <c r="FH280" s="64"/>
      <c r="FI280" s="64"/>
      <c r="FJ280" s="64"/>
      <c r="FK280" s="64"/>
      <c r="FL280" s="64"/>
      <c r="FM280" s="64"/>
      <c r="FN280" s="64"/>
      <c r="FO280" s="64"/>
      <c r="FP280" s="64"/>
      <c r="FQ280" s="64"/>
      <c r="FR280" s="64"/>
      <c r="FS280" s="64"/>
      <c r="FT280" s="64"/>
      <c r="FU280" s="64"/>
      <c r="FV280" s="64"/>
      <c r="FW280" s="64"/>
      <c r="FX280" s="64"/>
      <c r="FY280" s="64"/>
      <c r="FZ280" s="64"/>
      <c r="GA280" s="64"/>
      <c r="GB280" s="64"/>
      <c r="GC280" s="64"/>
      <c r="GD280" s="64"/>
      <c r="GE280" s="64"/>
      <c r="GF280" s="64"/>
      <c r="GG280" s="64"/>
      <c r="GH280" s="64"/>
      <c r="GI280" s="64"/>
      <c r="GJ280" s="64"/>
      <c r="GK280" s="64"/>
      <c r="GL280" s="64"/>
      <c r="GM280" s="64"/>
      <c r="GN280" s="64"/>
      <c r="GO280" s="64"/>
      <c r="GP280" s="64"/>
      <c r="GQ280" s="64"/>
      <c r="GR280" s="64"/>
      <c r="GS280" s="64"/>
      <c r="GT280" s="64"/>
      <c r="GU280" s="64"/>
      <c r="GV280" s="64"/>
      <c r="GW280" s="64"/>
      <c r="GX280" s="64"/>
      <c r="GY280" s="64"/>
      <c r="GZ280" s="64"/>
      <c r="HA280" s="64"/>
      <c r="HB280" s="64"/>
      <c r="HC280" s="64"/>
      <c r="HD280" s="64"/>
      <c r="HE280" s="64"/>
      <c r="HF280" s="64"/>
      <c r="HG280" s="64"/>
      <c r="HH280" s="64"/>
      <c r="HI280" s="64"/>
      <c r="HJ280" s="64"/>
      <c r="HK280" s="64"/>
      <c r="HL280" s="64"/>
      <c r="HM280" s="64"/>
      <c r="HN280" s="64"/>
      <c r="HO280" s="64"/>
      <c r="HP280" s="64"/>
      <c r="HQ280" s="64"/>
      <c r="HR280" s="64"/>
      <c r="HS280" s="64"/>
      <c r="HT280" s="64"/>
      <c r="HU280" s="64"/>
      <c r="HV280" s="64"/>
      <c r="HW280" s="64"/>
      <c r="HX280" s="64"/>
      <c r="HY280" s="64"/>
      <c r="HZ280" s="64"/>
      <c r="IA280" s="64"/>
      <c r="IB280" s="64"/>
      <c r="IC280" s="64"/>
      <c r="ID280" s="64"/>
      <c r="IE280" s="64"/>
      <c r="IF280" s="64"/>
      <c r="IG280" s="64"/>
      <c r="IH280" s="64"/>
      <c r="II280" s="64"/>
      <c r="IJ280" s="64"/>
      <c r="IK280" s="64"/>
      <c r="IL280" s="64"/>
      <c r="IM280" s="64"/>
      <c r="IN280" s="64"/>
      <c r="IO280" s="64"/>
      <c r="IP280" s="64"/>
      <c r="IQ280" s="64"/>
      <c r="IR280" s="64"/>
      <c r="IS280" s="64"/>
      <c r="IT280" s="64"/>
      <c r="IU280" s="64"/>
      <c r="IV280" s="64"/>
      <c r="IW280" s="64"/>
      <c r="IX280" s="64"/>
      <c r="IY280" s="64"/>
      <c r="IZ280" s="64"/>
      <c r="JA280" s="64"/>
      <c r="JB280" s="64"/>
      <c r="JC280" s="64"/>
      <c r="JD280" s="64"/>
      <c r="JE280" s="64"/>
      <c r="JF280" s="64"/>
      <c r="JG280" s="64"/>
      <c r="JH280" s="64"/>
      <c r="JI280" s="64"/>
    </row>
    <row r="281" spans="1:269" s="920" customFormat="1" x14ac:dyDescent="0.2">
      <c r="A281" s="116"/>
      <c r="B281" s="64"/>
      <c r="C281" s="64"/>
      <c r="D281" s="64"/>
      <c r="E281" s="64"/>
      <c r="F281" s="64"/>
      <c r="G281" s="64"/>
      <c r="H281" s="64"/>
      <c r="I281" s="64"/>
      <c r="J281" s="116"/>
      <c r="K281" s="116"/>
      <c r="L281" s="116"/>
      <c r="M281" s="116"/>
      <c r="N281" s="116"/>
      <c r="O281" s="116"/>
      <c r="P281" s="116"/>
      <c r="Q281" s="102"/>
      <c r="R281" s="102"/>
      <c r="S281" s="102"/>
      <c r="T281" s="102"/>
      <c r="U281" s="913"/>
      <c r="V281" s="114"/>
      <c r="W281" s="805"/>
      <c r="X281" s="805"/>
      <c r="Y281" s="805"/>
      <c r="Z281" s="914"/>
      <c r="AA281" s="102"/>
      <c r="AB281" s="102"/>
      <c r="AC281" s="102"/>
      <c r="AD281" s="102"/>
      <c r="AE281" s="102"/>
      <c r="AF281" s="102"/>
      <c r="AG281" s="102"/>
      <c r="AH281" s="102"/>
      <c r="AI281" s="102"/>
      <c r="AJ281" s="906"/>
      <c r="AK281" s="102"/>
      <c r="AL281" s="915"/>
      <c r="AM281" s="915"/>
      <c r="AN281" s="114"/>
      <c r="AO281" s="64"/>
      <c r="AP281" s="64"/>
      <c r="AQ281" s="64"/>
      <c r="AR281" s="916"/>
      <c r="AS281" s="916"/>
      <c r="AT281" s="916"/>
      <c r="AU281" s="917"/>
      <c r="AV281" s="917"/>
      <c r="AW281" s="917"/>
      <c r="AX281" s="918"/>
      <c r="AY281" s="916"/>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917"/>
      <c r="CA281" s="917"/>
      <c r="CB281" s="64"/>
      <c r="CC281" s="919"/>
      <c r="CD281" s="919"/>
      <c r="CE281" s="64"/>
      <c r="CF281" s="528"/>
      <c r="CG281" s="529"/>
      <c r="CH281" s="64"/>
      <c r="CI281" s="64"/>
      <c r="CJ281" s="64"/>
      <c r="CK281" s="64"/>
      <c r="CL281" s="64"/>
      <c r="CM281" s="64"/>
      <c r="CN281" s="64"/>
      <c r="CO281" s="64"/>
      <c r="CP281" s="64"/>
      <c r="CQ281" s="64"/>
      <c r="CR281" s="64"/>
      <c r="CS281" s="64"/>
      <c r="CT281" s="64"/>
      <c r="CU281" s="64"/>
      <c r="CV281" s="64"/>
      <c r="CW281" s="64"/>
      <c r="CX281" s="64"/>
      <c r="CY281" s="1011"/>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c r="FC281" s="64"/>
      <c r="FD281" s="64"/>
      <c r="FE281" s="64"/>
      <c r="FF281" s="64"/>
      <c r="FG281" s="64"/>
      <c r="FH281" s="64"/>
      <c r="FI281" s="64"/>
      <c r="FJ281" s="64"/>
      <c r="FK281" s="64"/>
      <c r="FL281" s="64"/>
      <c r="FM281" s="64"/>
      <c r="FN281" s="64"/>
      <c r="FO281" s="64"/>
      <c r="FP281" s="64"/>
      <c r="FQ281" s="64"/>
      <c r="FR281" s="64"/>
      <c r="FS281" s="64"/>
      <c r="FT281" s="64"/>
      <c r="FU281" s="64"/>
      <c r="FV281" s="64"/>
      <c r="FW281" s="64"/>
      <c r="FX281" s="64"/>
      <c r="FY281" s="64"/>
      <c r="FZ281" s="64"/>
      <c r="GA281" s="64"/>
      <c r="GB281" s="64"/>
      <c r="GC281" s="64"/>
      <c r="GD281" s="64"/>
      <c r="GE281" s="64"/>
      <c r="GF281" s="64"/>
      <c r="GG281" s="64"/>
      <c r="GH281" s="64"/>
      <c r="GI281" s="64"/>
      <c r="GJ281" s="64"/>
      <c r="GK281" s="64"/>
      <c r="GL281" s="64"/>
      <c r="GM281" s="64"/>
      <c r="GN281" s="64"/>
      <c r="GO281" s="64"/>
      <c r="GP281" s="64"/>
      <c r="GQ281" s="64"/>
      <c r="GR281" s="64"/>
      <c r="GS281" s="64"/>
      <c r="GT281" s="64"/>
      <c r="GU281" s="64"/>
      <c r="GV281" s="64"/>
      <c r="GW281" s="64"/>
      <c r="GX281" s="64"/>
      <c r="GY281" s="64"/>
      <c r="GZ281" s="64"/>
      <c r="HA281" s="64"/>
      <c r="HB281" s="64"/>
      <c r="HC281" s="64"/>
      <c r="HD281" s="64"/>
      <c r="HE281" s="64"/>
      <c r="HF281" s="64"/>
      <c r="HG281" s="64"/>
      <c r="HH281" s="64"/>
      <c r="HI281" s="64"/>
      <c r="HJ281" s="64"/>
      <c r="HK281" s="64"/>
      <c r="HL281" s="64"/>
      <c r="HM281" s="64"/>
      <c r="HN281" s="64"/>
      <c r="HO281" s="64"/>
      <c r="HP281" s="64"/>
      <c r="HQ281" s="64"/>
      <c r="HR281" s="64"/>
      <c r="HS281" s="64"/>
      <c r="HT281" s="64"/>
      <c r="HU281" s="64"/>
      <c r="HV281" s="64"/>
      <c r="HW281" s="64"/>
      <c r="HX281" s="64"/>
      <c r="HY281" s="64"/>
      <c r="HZ281" s="64"/>
      <c r="IA281" s="64"/>
      <c r="IB281" s="64"/>
      <c r="IC281" s="64"/>
      <c r="ID281" s="64"/>
      <c r="IE281" s="64"/>
      <c r="IF281" s="64"/>
      <c r="IG281" s="64"/>
      <c r="IH281" s="64"/>
      <c r="II281" s="64"/>
      <c r="IJ281" s="64"/>
      <c r="IK281" s="64"/>
      <c r="IL281" s="64"/>
      <c r="IM281" s="64"/>
      <c r="IN281" s="64"/>
      <c r="IO281" s="64"/>
      <c r="IP281" s="64"/>
      <c r="IQ281" s="64"/>
      <c r="IR281" s="64"/>
      <c r="IS281" s="64"/>
      <c r="IT281" s="64"/>
      <c r="IU281" s="64"/>
      <c r="IV281" s="64"/>
      <c r="IW281" s="64"/>
      <c r="IX281" s="64"/>
      <c r="IY281" s="64"/>
      <c r="IZ281" s="64"/>
      <c r="JA281" s="64"/>
      <c r="JB281" s="64"/>
      <c r="JC281" s="64"/>
      <c r="JD281" s="64"/>
      <c r="JE281" s="64"/>
      <c r="JF281" s="64"/>
      <c r="JG281" s="64"/>
      <c r="JH281" s="64"/>
      <c r="JI281" s="64"/>
    </row>
    <row r="282" spans="1:269" s="920" customFormat="1" x14ac:dyDescent="0.2">
      <c r="A282" s="116"/>
      <c r="B282" s="64"/>
      <c r="C282" s="64"/>
      <c r="D282" s="64"/>
      <c r="E282" s="64"/>
      <c r="F282" s="64"/>
      <c r="G282" s="64"/>
      <c r="H282" s="64"/>
      <c r="I282" s="64"/>
      <c r="J282" s="116"/>
      <c r="K282" s="116"/>
      <c r="L282" s="116"/>
      <c r="M282" s="116"/>
      <c r="N282" s="116"/>
      <c r="O282" s="116"/>
      <c r="P282" s="116"/>
      <c r="Q282" s="102"/>
      <c r="R282" s="102"/>
      <c r="S282" s="102"/>
      <c r="T282" s="102"/>
      <c r="U282" s="913"/>
      <c r="V282" s="114"/>
      <c r="W282" s="805"/>
      <c r="X282" s="805"/>
      <c r="Y282" s="805"/>
      <c r="Z282" s="914"/>
      <c r="AA282" s="102"/>
      <c r="AB282" s="102"/>
      <c r="AC282" s="102"/>
      <c r="AD282" s="102"/>
      <c r="AE282" s="102"/>
      <c r="AF282" s="102"/>
      <c r="AG282" s="102"/>
      <c r="AH282" s="102"/>
      <c r="AI282" s="102"/>
      <c r="AJ282" s="906"/>
      <c r="AK282" s="102"/>
      <c r="AL282" s="915"/>
      <c r="AM282" s="915"/>
      <c r="AN282" s="114"/>
      <c r="AO282" s="64"/>
      <c r="AP282" s="64"/>
      <c r="AQ282" s="64"/>
      <c r="AR282" s="916"/>
      <c r="AS282" s="916"/>
      <c r="AT282" s="916"/>
      <c r="AU282" s="917"/>
      <c r="AV282" s="917"/>
      <c r="AW282" s="917"/>
      <c r="AX282" s="918"/>
      <c r="AY282" s="916"/>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917"/>
      <c r="CA282" s="917"/>
      <c r="CB282" s="64"/>
      <c r="CC282" s="919"/>
      <c r="CD282" s="919"/>
      <c r="CE282" s="64"/>
      <c r="CF282" s="528"/>
      <c r="CG282" s="529"/>
      <c r="CH282" s="64"/>
      <c r="CI282" s="64"/>
      <c r="CJ282" s="64"/>
      <c r="CK282" s="64"/>
      <c r="CL282" s="64"/>
      <c r="CM282" s="64"/>
      <c r="CN282" s="64"/>
      <c r="CO282" s="64"/>
      <c r="CP282" s="64"/>
      <c r="CQ282" s="64"/>
      <c r="CR282" s="64"/>
      <c r="CS282" s="64"/>
      <c r="CT282" s="64"/>
      <c r="CU282" s="64"/>
      <c r="CV282" s="64"/>
      <c r="CW282" s="64"/>
      <c r="CX282" s="64"/>
      <c r="CY282" s="1011"/>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c r="FC282" s="64"/>
      <c r="FD282" s="64"/>
      <c r="FE282" s="64"/>
      <c r="FF282" s="64"/>
      <c r="FG282" s="64"/>
      <c r="FH282" s="64"/>
      <c r="FI282" s="64"/>
      <c r="FJ282" s="64"/>
      <c r="FK282" s="64"/>
      <c r="FL282" s="64"/>
      <c r="FM282" s="64"/>
      <c r="FN282" s="64"/>
      <c r="FO282" s="64"/>
      <c r="FP282" s="64"/>
      <c r="FQ282" s="64"/>
      <c r="FR282" s="64"/>
      <c r="FS282" s="64"/>
      <c r="FT282" s="64"/>
      <c r="FU282" s="64"/>
      <c r="FV282" s="64"/>
      <c r="FW282" s="64"/>
      <c r="FX282" s="64"/>
      <c r="FY282" s="64"/>
      <c r="FZ282" s="64"/>
      <c r="GA282" s="64"/>
      <c r="GB282" s="64"/>
      <c r="GC282" s="64"/>
      <c r="GD282" s="64"/>
      <c r="GE282" s="64"/>
      <c r="GF282" s="64"/>
      <c r="GG282" s="64"/>
      <c r="GH282" s="64"/>
      <c r="GI282" s="64"/>
      <c r="GJ282" s="64"/>
      <c r="GK282" s="64"/>
      <c r="GL282" s="64"/>
      <c r="GM282" s="64"/>
      <c r="GN282" s="64"/>
      <c r="GO282" s="64"/>
      <c r="GP282" s="64"/>
      <c r="GQ282" s="64"/>
      <c r="GR282" s="64"/>
      <c r="GS282" s="64"/>
      <c r="GT282" s="64"/>
      <c r="GU282" s="64"/>
      <c r="GV282" s="64"/>
      <c r="GW282" s="64"/>
      <c r="GX282" s="64"/>
      <c r="GY282" s="64"/>
      <c r="GZ282" s="64"/>
      <c r="HA282" s="64"/>
      <c r="HB282" s="64"/>
      <c r="HC282" s="64"/>
      <c r="HD282" s="64"/>
      <c r="HE282" s="64"/>
      <c r="HF282" s="64"/>
      <c r="HG282" s="64"/>
      <c r="HH282" s="64"/>
      <c r="HI282" s="64"/>
      <c r="HJ282" s="64"/>
      <c r="HK282" s="64"/>
      <c r="HL282" s="64"/>
      <c r="HM282" s="64"/>
      <c r="HN282" s="64"/>
      <c r="HO282" s="64"/>
      <c r="HP282" s="64"/>
      <c r="HQ282" s="64"/>
      <c r="HR282" s="64"/>
      <c r="HS282" s="64"/>
      <c r="HT282" s="64"/>
      <c r="HU282" s="64"/>
      <c r="HV282" s="64"/>
      <c r="HW282" s="64"/>
      <c r="HX282" s="64"/>
      <c r="HY282" s="64"/>
      <c r="HZ282" s="64"/>
      <c r="IA282" s="64"/>
      <c r="IB282" s="64"/>
      <c r="IC282" s="64"/>
      <c r="ID282" s="64"/>
      <c r="IE282" s="64"/>
      <c r="IF282" s="64"/>
      <c r="IG282" s="64"/>
      <c r="IH282" s="64"/>
      <c r="II282" s="64"/>
      <c r="IJ282" s="64"/>
      <c r="IK282" s="64"/>
      <c r="IL282" s="64"/>
      <c r="IM282" s="64"/>
      <c r="IN282" s="64"/>
      <c r="IO282" s="64"/>
      <c r="IP282" s="64"/>
      <c r="IQ282" s="64"/>
      <c r="IR282" s="64"/>
      <c r="IS282" s="64"/>
      <c r="IT282" s="64"/>
      <c r="IU282" s="64"/>
      <c r="IV282" s="64"/>
      <c r="IW282" s="64"/>
      <c r="IX282" s="64"/>
      <c r="IY282" s="64"/>
      <c r="IZ282" s="64"/>
      <c r="JA282" s="64"/>
      <c r="JB282" s="64"/>
      <c r="JC282" s="64"/>
      <c r="JD282" s="64"/>
      <c r="JE282" s="64"/>
      <c r="JF282" s="64"/>
      <c r="JG282" s="64"/>
      <c r="JH282" s="64"/>
      <c r="JI282" s="64"/>
    </row>
    <row r="283" spans="1:269" s="920" customFormat="1" x14ac:dyDescent="0.2">
      <c r="A283" s="116"/>
      <c r="B283" s="64"/>
      <c r="C283" s="64"/>
      <c r="D283" s="64"/>
      <c r="E283" s="64"/>
      <c r="F283" s="64"/>
      <c r="G283" s="64"/>
      <c r="H283" s="64"/>
      <c r="I283" s="64"/>
      <c r="J283" s="116"/>
      <c r="K283" s="116"/>
      <c r="L283" s="116"/>
      <c r="M283" s="116"/>
      <c r="N283" s="116"/>
      <c r="O283" s="116"/>
      <c r="P283" s="116"/>
      <c r="Q283" s="102"/>
      <c r="R283" s="102"/>
      <c r="S283" s="102"/>
      <c r="T283" s="102"/>
      <c r="U283" s="913"/>
      <c r="V283" s="114"/>
      <c r="W283" s="805"/>
      <c r="X283" s="805"/>
      <c r="Y283" s="805"/>
      <c r="Z283" s="914"/>
      <c r="AA283" s="102"/>
      <c r="AB283" s="102"/>
      <c r="AC283" s="102"/>
      <c r="AD283" s="102"/>
      <c r="AE283" s="102"/>
      <c r="AF283" s="102"/>
      <c r="AG283" s="102"/>
      <c r="AH283" s="102"/>
      <c r="AI283" s="102"/>
      <c r="AJ283" s="906"/>
      <c r="AK283" s="102"/>
      <c r="AL283" s="915"/>
      <c r="AM283" s="915"/>
      <c r="AN283" s="114"/>
      <c r="AO283" s="64"/>
      <c r="AP283" s="64"/>
      <c r="AQ283" s="64"/>
      <c r="AR283" s="916"/>
      <c r="AS283" s="916"/>
      <c r="AT283" s="916"/>
      <c r="AU283" s="917"/>
      <c r="AV283" s="917"/>
      <c r="AW283" s="917"/>
      <c r="AX283" s="918"/>
      <c r="AY283" s="916"/>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917"/>
      <c r="CA283" s="917"/>
      <c r="CB283" s="64"/>
      <c r="CC283" s="919"/>
      <c r="CD283" s="919"/>
      <c r="CE283" s="64"/>
      <c r="CF283" s="528"/>
      <c r="CG283" s="529"/>
      <c r="CH283" s="64"/>
      <c r="CI283" s="64"/>
      <c r="CJ283" s="64"/>
      <c r="CK283" s="64"/>
      <c r="CL283" s="64"/>
      <c r="CM283" s="64"/>
      <c r="CN283" s="64"/>
      <c r="CO283" s="64"/>
      <c r="CP283" s="64"/>
      <c r="CQ283" s="64"/>
      <c r="CR283" s="64"/>
      <c r="CS283" s="64"/>
      <c r="CT283" s="64"/>
      <c r="CU283" s="64"/>
      <c r="CV283" s="64"/>
      <c r="CW283" s="64"/>
      <c r="CX283" s="64"/>
      <c r="CY283" s="1011"/>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c r="FC283" s="64"/>
      <c r="FD283" s="64"/>
      <c r="FE283" s="64"/>
      <c r="FF283" s="64"/>
      <c r="FG283" s="64"/>
      <c r="FH283" s="64"/>
      <c r="FI283" s="64"/>
      <c r="FJ283" s="64"/>
      <c r="FK283" s="64"/>
      <c r="FL283" s="64"/>
      <c r="FM283" s="64"/>
      <c r="FN283" s="64"/>
      <c r="FO283" s="64"/>
      <c r="FP283" s="64"/>
      <c r="FQ283" s="64"/>
      <c r="FR283" s="64"/>
      <c r="FS283" s="64"/>
      <c r="FT283" s="64"/>
      <c r="FU283" s="64"/>
      <c r="FV283" s="64"/>
      <c r="FW283" s="64"/>
      <c r="FX283" s="64"/>
      <c r="FY283" s="64"/>
      <c r="FZ283" s="64"/>
      <c r="GA283" s="64"/>
      <c r="GB283" s="64"/>
      <c r="GC283" s="64"/>
      <c r="GD283" s="64"/>
      <c r="GE283" s="64"/>
      <c r="GF283" s="64"/>
      <c r="GG283" s="64"/>
      <c r="GH283" s="64"/>
      <c r="GI283" s="64"/>
      <c r="GJ283" s="64"/>
      <c r="GK283" s="64"/>
      <c r="GL283" s="64"/>
      <c r="GM283" s="64"/>
      <c r="GN283" s="64"/>
      <c r="GO283" s="64"/>
      <c r="GP283" s="64"/>
      <c r="GQ283" s="64"/>
      <c r="GR283" s="64"/>
      <c r="GS283" s="64"/>
      <c r="GT283" s="64"/>
      <c r="GU283" s="64"/>
      <c r="GV283" s="64"/>
      <c r="GW283" s="64"/>
      <c r="GX283" s="64"/>
      <c r="GY283" s="64"/>
      <c r="GZ283" s="64"/>
      <c r="HA283" s="64"/>
      <c r="HB283" s="64"/>
      <c r="HC283" s="64"/>
      <c r="HD283" s="64"/>
      <c r="HE283" s="64"/>
      <c r="HF283" s="64"/>
      <c r="HG283" s="64"/>
      <c r="HH283" s="64"/>
      <c r="HI283" s="64"/>
      <c r="HJ283" s="64"/>
      <c r="HK283" s="64"/>
      <c r="HL283" s="64"/>
      <c r="HM283" s="64"/>
      <c r="HN283" s="64"/>
      <c r="HO283" s="64"/>
      <c r="HP283" s="64"/>
      <c r="HQ283" s="64"/>
      <c r="HR283" s="64"/>
      <c r="HS283" s="64"/>
      <c r="HT283" s="64"/>
      <c r="HU283" s="64"/>
      <c r="HV283" s="64"/>
      <c r="HW283" s="64"/>
      <c r="HX283" s="64"/>
      <c r="HY283" s="64"/>
      <c r="HZ283" s="64"/>
      <c r="IA283" s="64"/>
      <c r="IB283" s="64"/>
      <c r="IC283" s="64"/>
      <c r="ID283" s="64"/>
      <c r="IE283" s="64"/>
      <c r="IF283" s="64"/>
      <c r="IG283" s="64"/>
      <c r="IH283" s="64"/>
      <c r="II283" s="64"/>
      <c r="IJ283" s="64"/>
      <c r="IK283" s="64"/>
      <c r="IL283" s="64"/>
      <c r="IM283" s="64"/>
      <c r="IN283" s="64"/>
      <c r="IO283" s="64"/>
      <c r="IP283" s="64"/>
      <c r="IQ283" s="64"/>
      <c r="IR283" s="64"/>
      <c r="IS283" s="64"/>
      <c r="IT283" s="64"/>
      <c r="IU283" s="64"/>
      <c r="IV283" s="64"/>
      <c r="IW283" s="64"/>
      <c r="IX283" s="64"/>
      <c r="IY283" s="64"/>
      <c r="IZ283" s="64"/>
      <c r="JA283" s="64"/>
      <c r="JB283" s="64"/>
      <c r="JC283" s="64"/>
      <c r="JD283" s="64"/>
      <c r="JE283" s="64"/>
      <c r="JF283" s="64"/>
      <c r="JG283" s="64"/>
      <c r="JH283" s="64"/>
      <c r="JI283" s="64"/>
    </row>
    <row r="284" spans="1:269" s="920" customFormat="1" x14ac:dyDescent="0.2">
      <c r="A284" s="116"/>
      <c r="B284" s="64"/>
      <c r="C284" s="64"/>
      <c r="D284" s="64"/>
      <c r="E284" s="64"/>
      <c r="F284" s="64"/>
      <c r="G284" s="64"/>
      <c r="H284" s="64"/>
      <c r="I284" s="64"/>
      <c r="J284" s="116"/>
      <c r="K284" s="116"/>
      <c r="L284" s="116"/>
      <c r="M284" s="116"/>
      <c r="N284" s="116"/>
      <c r="O284" s="116"/>
      <c r="P284" s="116"/>
      <c r="Q284" s="102"/>
      <c r="R284" s="102"/>
      <c r="S284" s="102"/>
      <c r="T284" s="102"/>
      <c r="U284" s="913"/>
      <c r="V284" s="114"/>
      <c r="W284" s="805"/>
      <c r="X284" s="805"/>
      <c r="Y284" s="805"/>
      <c r="Z284" s="914"/>
      <c r="AA284" s="102"/>
      <c r="AB284" s="102"/>
      <c r="AC284" s="102"/>
      <c r="AD284" s="102"/>
      <c r="AE284" s="102"/>
      <c r="AF284" s="102"/>
      <c r="AG284" s="102"/>
      <c r="AH284" s="102"/>
      <c r="AI284" s="102"/>
      <c r="AJ284" s="906"/>
      <c r="AK284" s="102"/>
      <c r="AL284" s="915"/>
      <c r="AM284" s="915"/>
      <c r="AN284" s="114"/>
      <c r="AO284" s="64"/>
      <c r="AP284" s="64"/>
      <c r="AQ284" s="64"/>
      <c r="AR284" s="916"/>
      <c r="AS284" s="916"/>
      <c r="AT284" s="916"/>
      <c r="AU284" s="917"/>
      <c r="AV284" s="917"/>
      <c r="AW284" s="917"/>
      <c r="AX284" s="918"/>
      <c r="AY284" s="916"/>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917"/>
      <c r="CA284" s="917"/>
      <c r="CB284" s="64"/>
      <c r="CC284" s="919"/>
      <c r="CD284" s="919"/>
      <c r="CE284" s="64"/>
      <c r="CF284" s="528"/>
      <c r="CG284" s="529"/>
      <c r="CH284" s="64"/>
      <c r="CI284" s="64"/>
      <c r="CJ284" s="64"/>
      <c r="CK284" s="64"/>
      <c r="CL284" s="64"/>
      <c r="CM284" s="64"/>
      <c r="CN284" s="64"/>
      <c r="CO284" s="64"/>
      <c r="CP284" s="64"/>
      <c r="CQ284" s="64"/>
      <c r="CR284" s="64"/>
      <c r="CS284" s="64"/>
      <c r="CT284" s="64"/>
      <c r="CU284" s="64"/>
      <c r="CV284" s="64"/>
      <c r="CW284" s="64"/>
      <c r="CX284" s="64"/>
      <c r="CY284" s="1011"/>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c r="FC284" s="64"/>
      <c r="FD284" s="64"/>
      <c r="FE284" s="64"/>
      <c r="FF284" s="64"/>
      <c r="FG284" s="64"/>
      <c r="FH284" s="64"/>
      <c r="FI284" s="64"/>
      <c r="FJ284" s="64"/>
      <c r="FK284" s="64"/>
      <c r="FL284" s="64"/>
      <c r="FM284" s="64"/>
      <c r="FN284" s="64"/>
      <c r="FO284" s="64"/>
      <c r="FP284" s="64"/>
      <c r="FQ284" s="64"/>
      <c r="FR284" s="64"/>
      <c r="FS284" s="64"/>
      <c r="FT284" s="64"/>
      <c r="FU284" s="64"/>
      <c r="FV284" s="64"/>
      <c r="FW284" s="64"/>
      <c r="FX284" s="64"/>
      <c r="FY284" s="64"/>
      <c r="FZ284" s="64"/>
      <c r="GA284" s="64"/>
      <c r="GB284" s="64"/>
      <c r="GC284" s="64"/>
      <c r="GD284" s="64"/>
      <c r="GE284" s="64"/>
      <c r="GF284" s="64"/>
      <c r="GG284" s="64"/>
      <c r="GH284" s="64"/>
      <c r="GI284" s="64"/>
      <c r="GJ284" s="64"/>
      <c r="GK284" s="64"/>
      <c r="GL284" s="64"/>
      <c r="GM284" s="64"/>
      <c r="GN284" s="64"/>
      <c r="GO284" s="64"/>
      <c r="GP284" s="64"/>
      <c r="GQ284" s="64"/>
      <c r="GR284" s="64"/>
      <c r="GS284" s="64"/>
      <c r="GT284" s="64"/>
      <c r="GU284" s="64"/>
      <c r="GV284" s="64"/>
      <c r="GW284" s="64"/>
      <c r="GX284" s="64"/>
      <c r="GY284" s="64"/>
      <c r="GZ284" s="64"/>
      <c r="HA284" s="64"/>
      <c r="HB284" s="64"/>
      <c r="HC284" s="64"/>
      <c r="HD284" s="64"/>
      <c r="HE284" s="64"/>
      <c r="HF284" s="64"/>
      <c r="HG284" s="64"/>
      <c r="HH284" s="64"/>
      <c r="HI284" s="64"/>
      <c r="HJ284" s="64"/>
      <c r="HK284" s="64"/>
      <c r="HL284" s="64"/>
      <c r="HM284" s="64"/>
      <c r="HN284" s="64"/>
      <c r="HO284" s="64"/>
      <c r="HP284" s="64"/>
      <c r="HQ284" s="64"/>
      <c r="HR284" s="64"/>
      <c r="HS284" s="64"/>
      <c r="HT284" s="64"/>
      <c r="HU284" s="64"/>
      <c r="HV284" s="64"/>
      <c r="HW284" s="64"/>
      <c r="HX284" s="64"/>
      <c r="HY284" s="64"/>
      <c r="HZ284" s="64"/>
      <c r="IA284" s="64"/>
      <c r="IB284" s="64"/>
      <c r="IC284" s="64"/>
      <c r="ID284" s="64"/>
      <c r="IE284" s="64"/>
      <c r="IF284" s="64"/>
      <c r="IG284" s="64"/>
      <c r="IH284" s="64"/>
      <c r="II284" s="64"/>
      <c r="IJ284" s="64"/>
      <c r="IK284" s="64"/>
      <c r="IL284" s="64"/>
      <c r="IM284" s="64"/>
      <c r="IN284" s="64"/>
      <c r="IO284" s="64"/>
      <c r="IP284" s="64"/>
      <c r="IQ284" s="64"/>
      <c r="IR284" s="64"/>
      <c r="IS284" s="64"/>
      <c r="IT284" s="64"/>
      <c r="IU284" s="64"/>
      <c r="IV284" s="64"/>
      <c r="IW284" s="64"/>
      <c r="IX284" s="64"/>
      <c r="IY284" s="64"/>
      <c r="IZ284" s="64"/>
      <c r="JA284" s="64"/>
      <c r="JB284" s="64"/>
      <c r="JC284" s="64"/>
      <c r="JD284" s="64"/>
      <c r="JE284" s="64"/>
      <c r="JF284" s="64"/>
      <c r="JG284" s="64"/>
      <c r="JH284" s="64"/>
      <c r="JI284" s="64"/>
    </row>
    <row r="285" spans="1:269" s="920" customFormat="1" x14ac:dyDescent="0.2">
      <c r="A285" s="116"/>
      <c r="B285" s="64"/>
      <c r="C285" s="64"/>
      <c r="D285" s="64"/>
      <c r="E285" s="64"/>
      <c r="F285" s="64"/>
      <c r="G285" s="64"/>
      <c r="H285" s="64"/>
      <c r="I285" s="64"/>
      <c r="J285" s="116"/>
      <c r="K285" s="116"/>
      <c r="L285" s="116"/>
      <c r="M285" s="116"/>
      <c r="N285" s="116"/>
      <c r="O285" s="116"/>
      <c r="P285" s="116"/>
      <c r="Q285" s="102"/>
      <c r="R285" s="102"/>
      <c r="S285" s="102"/>
      <c r="T285" s="102"/>
      <c r="U285" s="913"/>
      <c r="V285" s="114"/>
      <c r="W285" s="805"/>
      <c r="X285" s="805"/>
      <c r="Y285" s="805"/>
      <c r="Z285" s="914"/>
      <c r="AA285" s="102"/>
      <c r="AB285" s="102"/>
      <c r="AC285" s="102"/>
      <c r="AD285" s="102"/>
      <c r="AE285" s="102"/>
      <c r="AF285" s="102"/>
      <c r="AG285" s="102"/>
      <c r="AH285" s="102"/>
      <c r="AI285" s="102"/>
      <c r="AJ285" s="906"/>
      <c r="AK285" s="102"/>
      <c r="AL285" s="915"/>
      <c r="AM285" s="915"/>
      <c r="AN285" s="114"/>
      <c r="AO285" s="64"/>
      <c r="AP285" s="64"/>
      <c r="AQ285" s="64"/>
      <c r="AR285" s="916"/>
      <c r="AS285" s="916"/>
      <c r="AT285" s="916"/>
      <c r="AU285" s="917"/>
      <c r="AV285" s="917"/>
      <c r="AW285" s="917"/>
      <c r="AX285" s="918"/>
      <c r="AY285" s="916"/>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917"/>
      <c r="CA285" s="917"/>
      <c r="CB285" s="64"/>
      <c r="CC285" s="919"/>
      <c r="CD285" s="919"/>
      <c r="CE285" s="64"/>
      <c r="CF285" s="528"/>
      <c r="CG285" s="529"/>
      <c r="CH285" s="64"/>
      <c r="CI285" s="64"/>
      <c r="CJ285" s="64"/>
      <c r="CK285" s="64"/>
      <c r="CL285" s="64"/>
      <c r="CM285" s="64"/>
      <c r="CN285" s="64"/>
      <c r="CO285" s="64"/>
      <c r="CP285" s="64"/>
      <c r="CQ285" s="64"/>
      <c r="CR285" s="64"/>
      <c r="CS285" s="64"/>
      <c r="CT285" s="64"/>
      <c r="CU285" s="64"/>
      <c r="CV285" s="64"/>
      <c r="CW285" s="64"/>
      <c r="CX285" s="64"/>
      <c r="CY285" s="1011"/>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c r="FC285" s="64"/>
      <c r="FD285" s="64"/>
      <c r="FE285" s="64"/>
      <c r="FF285" s="64"/>
      <c r="FG285" s="64"/>
      <c r="FH285" s="64"/>
      <c r="FI285" s="64"/>
      <c r="FJ285" s="64"/>
      <c r="FK285" s="64"/>
      <c r="FL285" s="64"/>
      <c r="FM285" s="64"/>
      <c r="FN285" s="64"/>
      <c r="FO285" s="64"/>
      <c r="FP285" s="64"/>
      <c r="FQ285" s="64"/>
      <c r="FR285" s="64"/>
      <c r="FS285" s="64"/>
      <c r="FT285" s="64"/>
      <c r="FU285" s="64"/>
      <c r="FV285" s="64"/>
      <c r="FW285" s="64"/>
      <c r="FX285" s="64"/>
      <c r="FY285" s="64"/>
      <c r="FZ285" s="64"/>
      <c r="GA285" s="64"/>
      <c r="GB285" s="64"/>
      <c r="GC285" s="64"/>
      <c r="GD285" s="64"/>
      <c r="GE285" s="64"/>
      <c r="GF285" s="64"/>
      <c r="GG285" s="64"/>
      <c r="GH285" s="64"/>
      <c r="GI285" s="64"/>
      <c r="GJ285" s="64"/>
      <c r="GK285" s="64"/>
      <c r="GL285" s="64"/>
      <c r="GM285" s="64"/>
      <c r="GN285" s="64"/>
      <c r="GO285" s="64"/>
      <c r="GP285" s="64"/>
      <c r="GQ285" s="64"/>
      <c r="GR285" s="64"/>
      <c r="GS285" s="64"/>
      <c r="GT285" s="64"/>
      <c r="GU285" s="64"/>
      <c r="GV285" s="64"/>
      <c r="GW285" s="64"/>
      <c r="GX285" s="64"/>
      <c r="GY285" s="64"/>
      <c r="GZ285" s="64"/>
      <c r="HA285" s="64"/>
      <c r="HB285" s="64"/>
      <c r="HC285" s="64"/>
      <c r="HD285" s="64"/>
      <c r="HE285" s="64"/>
      <c r="HF285" s="64"/>
      <c r="HG285" s="64"/>
      <c r="HH285" s="64"/>
      <c r="HI285" s="64"/>
      <c r="HJ285" s="64"/>
      <c r="HK285" s="64"/>
      <c r="HL285" s="64"/>
      <c r="HM285" s="64"/>
      <c r="HN285" s="64"/>
      <c r="HO285" s="64"/>
      <c r="HP285" s="64"/>
      <c r="HQ285" s="64"/>
      <c r="HR285" s="64"/>
      <c r="HS285" s="64"/>
      <c r="HT285" s="64"/>
      <c r="HU285" s="64"/>
      <c r="HV285" s="64"/>
      <c r="HW285" s="64"/>
      <c r="HX285" s="64"/>
      <c r="HY285" s="64"/>
      <c r="HZ285" s="64"/>
      <c r="IA285" s="64"/>
      <c r="IB285" s="64"/>
      <c r="IC285" s="64"/>
      <c r="ID285" s="64"/>
      <c r="IE285" s="64"/>
      <c r="IF285" s="64"/>
      <c r="IG285" s="64"/>
      <c r="IH285" s="64"/>
      <c r="II285" s="64"/>
      <c r="IJ285" s="64"/>
      <c r="IK285" s="64"/>
      <c r="IL285" s="64"/>
      <c r="IM285" s="64"/>
      <c r="IN285" s="64"/>
      <c r="IO285" s="64"/>
      <c r="IP285" s="64"/>
      <c r="IQ285" s="64"/>
      <c r="IR285" s="64"/>
      <c r="IS285" s="64"/>
      <c r="IT285" s="64"/>
      <c r="IU285" s="64"/>
      <c r="IV285" s="64"/>
      <c r="IW285" s="64"/>
      <c r="IX285" s="64"/>
      <c r="IY285" s="64"/>
      <c r="IZ285" s="64"/>
      <c r="JA285" s="64"/>
      <c r="JB285" s="64"/>
      <c r="JC285" s="64"/>
      <c r="JD285" s="64"/>
      <c r="JE285" s="64"/>
      <c r="JF285" s="64"/>
      <c r="JG285" s="64"/>
      <c r="JH285" s="64"/>
      <c r="JI285" s="64"/>
    </row>
    <row r="286" spans="1:269" s="920" customFormat="1" x14ac:dyDescent="0.2">
      <c r="A286" s="116"/>
      <c r="B286" s="64"/>
      <c r="C286" s="64"/>
      <c r="D286" s="64"/>
      <c r="E286" s="64"/>
      <c r="F286" s="64"/>
      <c r="G286" s="64"/>
      <c r="H286" s="64"/>
      <c r="I286" s="64"/>
      <c r="J286" s="116"/>
      <c r="K286" s="116"/>
      <c r="L286" s="116"/>
      <c r="M286" s="116"/>
      <c r="N286" s="116"/>
      <c r="O286" s="116"/>
      <c r="P286" s="116"/>
      <c r="Q286" s="102"/>
      <c r="R286" s="102"/>
      <c r="S286" s="102"/>
      <c r="T286" s="102"/>
      <c r="U286" s="913"/>
      <c r="V286" s="114"/>
      <c r="W286" s="805"/>
      <c r="X286" s="805"/>
      <c r="Y286" s="805"/>
      <c r="Z286" s="914"/>
      <c r="AA286" s="102"/>
      <c r="AB286" s="102"/>
      <c r="AC286" s="102"/>
      <c r="AD286" s="102"/>
      <c r="AE286" s="102"/>
      <c r="AF286" s="102"/>
      <c r="AG286" s="102"/>
      <c r="AH286" s="102"/>
      <c r="AI286" s="102"/>
      <c r="AJ286" s="906"/>
      <c r="AK286" s="102"/>
      <c r="AL286" s="915"/>
      <c r="AM286" s="915"/>
      <c r="AN286" s="114"/>
      <c r="AO286" s="64"/>
      <c r="AP286" s="64"/>
      <c r="AQ286" s="64"/>
      <c r="AR286" s="916"/>
      <c r="AS286" s="916"/>
      <c r="AT286" s="916"/>
      <c r="AU286" s="917"/>
      <c r="AV286" s="917"/>
      <c r="AW286" s="917"/>
      <c r="AX286" s="918"/>
      <c r="AY286" s="916"/>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917"/>
      <c r="CA286" s="917"/>
      <c r="CB286" s="64"/>
      <c r="CC286" s="919"/>
      <c r="CD286" s="919"/>
      <c r="CE286" s="64"/>
      <c r="CF286" s="528"/>
      <c r="CG286" s="529"/>
      <c r="CH286" s="64"/>
      <c r="CI286" s="64"/>
      <c r="CJ286" s="64"/>
      <c r="CK286" s="64"/>
      <c r="CL286" s="64"/>
      <c r="CM286" s="64"/>
      <c r="CN286" s="64"/>
      <c r="CO286" s="64"/>
      <c r="CP286" s="64"/>
      <c r="CQ286" s="64"/>
      <c r="CR286" s="64"/>
      <c r="CS286" s="64"/>
      <c r="CT286" s="64"/>
      <c r="CU286" s="64"/>
      <c r="CV286" s="64"/>
      <c r="CW286" s="64"/>
      <c r="CX286" s="64"/>
      <c r="CY286" s="1011"/>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c r="FC286" s="64"/>
      <c r="FD286" s="64"/>
      <c r="FE286" s="64"/>
      <c r="FF286" s="64"/>
      <c r="FG286" s="64"/>
      <c r="FH286" s="64"/>
      <c r="FI286" s="64"/>
      <c r="FJ286" s="64"/>
      <c r="FK286" s="64"/>
      <c r="FL286" s="64"/>
      <c r="FM286" s="64"/>
      <c r="FN286" s="64"/>
      <c r="FO286" s="64"/>
      <c r="FP286" s="64"/>
      <c r="FQ286" s="64"/>
      <c r="FR286" s="64"/>
      <c r="FS286" s="64"/>
      <c r="FT286" s="64"/>
      <c r="FU286" s="64"/>
      <c r="FV286" s="64"/>
      <c r="FW286" s="64"/>
      <c r="FX286" s="64"/>
      <c r="FY286" s="64"/>
      <c r="FZ286" s="64"/>
      <c r="GA286" s="64"/>
      <c r="GB286" s="64"/>
      <c r="GC286" s="64"/>
      <c r="GD286" s="64"/>
      <c r="GE286" s="64"/>
      <c r="GF286" s="64"/>
      <c r="GG286" s="64"/>
      <c r="GH286" s="64"/>
      <c r="GI286" s="64"/>
      <c r="GJ286" s="64"/>
      <c r="GK286" s="64"/>
      <c r="GL286" s="64"/>
      <c r="GM286" s="64"/>
      <c r="GN286" s="64"/>
      <c r="GO286" s="64"/>
      <c r="GP286" s="64"/>
      <c r="GQ286" s="64"/>
      <c r="GR286" s="64"/>
      <c r="GS286" s="64"/>
      <c r="GT286" s="64"/>
      <c r="GU286" s="64"/>
      <c r="GV286" s="64"/>
      <c r="GW286" s="64"/>
      <c r="GX286" s="64"/>
      <c r="GY286" s="64"/>
      <c r="GZ286" s="64"/>
      <c r="HA286" s="64"/>
      <c r="HB286" s="64"/>
      <c r="HC286" s="64"/>
      <c r="HD286" s="64"/>
      <c r="HE286" s="64"/>
      <c r="HF286" s="64"/>
      <c r="HG286" s="64"/>
      <c r="HH286" s="64"/>
      <c r="HI286" s="64"/>
      <c r="HJ286" s="64"/>
      <c r="HK286" s="64"/>
      <c r="HL286" s="64"/>
      <c r="HM286" s="64"/>
      <c r="HN286" s="64"/>
      <c r="HO286" s="64"/>
      <c r="HP286" s="64"/>
      <c r="HQ286" s="64"/>
      <c r="HR286" s="64"/>
      <c r="HS286" s="64"/>
      <c r="HT286" s="64"/>
      <c r="HU286" s="64"/>
      <c r="HV286" s="64"/>
      <c r="HW286" s="64"/>
      <c r="HX286" s="64"/>
      <c r="HY286" s="64"/>
      <c r="HZ286" s="64"/>
      <c r="IA286" s="64"/>
      <c r="IB286" s="64"/>
      <c r="IC286" s="64"/>
      <c r="ID286" s="64"/>
      <c r="IE286" s="64"/>
      <c r="IF286" s="64"/>
      <c r="IG286" s="64"/>
      <c r="IH286" s="64"/>
      <c r="II286" s="64"/>
      <c r="IJ286" s="64"/>
      <c r="IK286" s="64"/>
      <c r="IL286" s="64"/>
      <c r="IM286" s="64"/>
      <c r="IN286" s="64"/>
      <c r="IO286" s="64"/>
      <c r="IP286" s="64"/>
      <c r="IQ286" s="64"/>
      <c r="IR286" s="64"/>
      <c r="IS286" s="64"/>
      <c r="IT286" s="64"/>
      <c r="IU286" s="64"/>
      <c r="IV286" s="64"/>
      <c r="IW286" s="64"/>
      <c r="IX286" s="64"/>
      <c r="IY286" s="64"/>
      <c r="IZ286" s="64"/>
      <c r="JA286" s="64"/>
      <c r="JB286" s="64"/>
      <c r="JC286" s="64"/>
      <c r="JD286" s="64"/>
      <c r="JE286" s="64"/>
      <c r="JF286" s="64"/>
      <c r="JG286" s="64"/>
      <c r="JH286" s="64"/>
      <c r="JI286" s="64"/>
    </row>
    <row r="287" spans="1:269" s="920" customFormat="1" x14ac:dyDescent="0.2">
      <c r="A287" s="116"/>
      <c r="B287" s="64"/>
      <c r="C287" s="64"/>
      <c r="D287" s="64"/>
      <c r="E287" s="64"/>
      <c r="F287" s="64"/>
      <c r="G287" s="64"/>
      <c r="H287" s="64"/>
      <c r="I287" s="64"/>
      <c r="J287" s="116"/>
      <c r="K287" s="116"/>
      <c r="L287" s="116"/>
      <c r="M287" s="116"/>
      <c r="N287" s="116"/>
      <c r="O287" s="116"/>
      <c r="P287" s="116"/>
      <c r="Q287" s="102"/>
      <c r="R287" s="102"/>
      <c r="S287" s="102"/>
      <c r="T287" s="102"/>
      <c r="U287" s="913"/>
      <c r="V287" s="114"/>
      <c r="W287" s="805"/>
      <c r="X287" s="805"/>
      <c r="Y287" s="805"/>
      <c r="Z287" s="914"/>
      <c r="AA287" s="102"/>
      <c r="AB287" s="102"/>
      <c r="AC287" s="102"/>
      <c r="AD287" s="102"/>
      <c r="AE287" s="102"/>
      <c r="AF287" s="102"/>
      <c r="AG287" s="102"/>
      <c r="AH287" s="102"/>
      <c r="AI287" s="102"/>
      <c r="AJ287" s="906"/>
      <c r="AK287" s="102"/>
      <c r="AL287" s="915"/>
      <c r="AM287" s="915"/>
      <c r="AN287" s="114"/>
      <c r="AO287" s="64"/>
      <c r="AP287" s="64"/>
      <c r="AQ287" s="64"/>
      <c r="AR287" s="916"/>
      <c r="AS287" s="916"/>
      <c r="AT287" s="916"/>
      <c r="AU287" s="917"/>
      <c r="AV287" s="917"/>
      <c r="AW287" s="917"/>
      <c r="AX287" s="918"/>
      <c r="AY287" s="916"/>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917"/>
      <c r="CA287" s="917"/>
      <c r="CB287" s="64"/>
      <c r="CC287" s="919"/>
      <c r="CD287" s="919"/>
      <c r="CE287" s="64"/>
      <c r="CF287" s="528"/>
      <c r="CG287" s="529"/>
      <c r="CH287" s="64"/>
      <c r="CI287" s="64"/>
      <c r="CJ287" s="64"/>
      <c r="CK287" s="64"/>
      <c r="CL287" s="64"/>
      <c r="CM287" s="64"/>
      <c r="CN287" s="64"/>
      <c r="CO287" s="64"/>
      <c r="CP287" s="64"/>
      <c r="CQ287" s="64"/>
      <c r="CR287" s="64"/>
      <c r="CS287" s="64"/>
      <c r="CT287" s="64"/>
      <c r="CU287" s="64"/>
      <c r="CV287" s="64"/>
      <c r="CW287" s="64"/>
      <c r="CX287" s="64"/>
      <c r="CY287" s="1011"/>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c r="FC287" s="64"/>
      <c r="FD287" s="64"/>
      <c r="FE287" s="64"/>
      <c r="FF287" s="64"/>
      <c r="FG287" s="64"/>
      <c r="FH287" s="64"/>
      <c r="FI287" s="64"/>
      <c r="FJ287" s="64"/>
      <c r="FK287" s="64"/>
      <c r="FL287" s="64"/>
      <c r="FM287" s="64"/>
      <c r="FN287" s="64"/>
      <c r="FO287" s="64"/>
      <c r="FP287" s="64"/>
      <c r="FQ287" s="64"/>
      <c r="FR287" s="64"/>
      <c r="FS287" s="64"/>
      <c r="FT287" s="64"/>
      <c r="FU287" s="64"/>
      <c r="FV287" s="64"/>
      <c r="FW287" s="64"/>
      <c r="FX287" s="64"/>
      <c r="FY287" s="64"/>
      <c r="FZ287" s="64"/>
      <c r="GA287" s="64"/>
      <c r="GB287" s="64"/>
      <c r="GC287" s="64"/>
      <c r="GD287" s="64"/>
      <c r="GE287" s="64"/>
      <c r="GF287" s="64"/>
      <c r="GG287" s="64"/>
      <c r="GH287" s="64"/>
      <c r="GI287" s="64"/>
      <c r="GJ287" s="64"/>
      <c r="GK287" s="64"/>
      <c r="GL287" s="64"/>
      <c r="GM287" s="64"/>
      <c r="GN287" s="64"/>
      <c r="GO287" s="64"/>
      <c r="GP287" s="64"/>
      <c r="GQ287" s="64"/>
      <c r="GR287" s="64"/>
      <c r="GS287" s="64"/>
      <c r="GT287" s="64"/>
      <c r="GU287" s="64"/>
      <c r="GV287" s="64"/>
      <c r="GW287" s="64"/>
      <c r="GX287" s="64"/>
      <c r="GY287" s="64"/>
      <c r="GZ287" s="64"/>
      <c r="HA287" s="64"/>
      <c r="HB287" s="64"/>
      <c r="HC287" s="64"/>
      <c r="HD287" s="64"/>
      <c r="HE287" s="64"/>
      <c r="HF287" s="64"/>
      <c r="HG287" s="64"/>
      <c r="HH287" s="64"/>
      <c r="HI287" s="64"/>
      <c r="HJ287" s="64"/>
      <c r="HK287" s="64"/>
      <c r="HL287" s="64"/>
      <c r="HM287" s="64"/>
      <c r="HN287" s="64"/>
      <c r="HO287" s="64"/>
      <c r="HP287" s="64"/>
      <c r="HQ287" s="64"/>
      <c r="HR287" s="64"/>
      <c r="HS287" s="64"/>
      <c r="HT287" s="64"/>
      <c r="HU287" s="64"/>
      <c r="HV287" s="64"/>
      <c r="HW287" s="64"/>
      <c r="HX287" s="64"/>
      <c r="HY287" s="64"/>
      <c r="HZ287" s="64"/>
      <c r="IA287" s="64"/>
      <c r="IB287" s="64"/>
      <c r="IC287" s="64"/>
      <c r="ID287" s="64"/>
      <c r="IE287" s="64"/>
      <c r="IF287" s="64"/>
      <c r="IG287" s="64"/>
      <c r="IH287" s="64"/>
      <c r="II287" s="64"/>
      <c r="IJ287" s="64"/>
      <c r="IK287" s="64"/>
      <c r="IL287" s="64"/>
      <c r="IM287" s="64"/>
      <c r="IN287" s="64"/>
      <c r="IO287" s="64"/>
      <c r="IP287" s="64"/>
      <c r="IQ287" s="64"/>
      <c r="IR287" s="64"/>
      <c r="IS287" s="64"/>
      <c r="IT287" s="64"/>
      <c r="IU287" s="64"/>
      <c r="IV287" s="64"/>
      <c r="IW287" s="64"/>
      <c r="IX287" s="64"/>
      <c r="IY287" s="64"/>
      <c r="IZ287" s="64"/>
      <c r="JA287" s="64"/>
      <c r="JB287" s="64"/>
      <c r="JC287" s="64"/>
      <c r="JD287" s="64"/>
      <c r="JE287" s="64"/>
      <c r="JF287" s="64"/>
      <c r="JG287" s="64"/>
      <c r="JH287" s="64"/>
      <c r="JI287" s="64"/>
    </row>
    <row r="288" spans="1:269" s="920" customFormat="1" x14ac:dyDescent="0.2">
      <c r="A288" s="116"/>
      <c r="B288" s="64"/>
      <c r="C288" s="64"/>
      <c r="D288" s="64"/>
      <c r="E288" s="64"/>
      <c r="F288" s="64"/>
      <c r="G288" s="64"/>
      <c r="H288" s="64"/>
      <c r="I288" s="64"/>
      <c r="J288" s="116"/>
      <c r="K288" s="116"/>
      <c r="L288" s="116"/>
      <c r="M288" s="116"/>
      <c r="N288" s="116"/>
      <c r="O288" s="116"/>
      <c r="P288" s="116"/>
      <c r="Q288" s="102"/>
      <c r="R288" s="102"/>
      <c r="S288" s="102"/>
      <c r="T288" s="102"/>
      <c r="U288" s="913"/>
      <c r="V288" s="114"/>
      <c r="W288" s="805"/>
      <c r="X288" s="805"/>
      <c r="Y288" s="805"/>
      <c r="Z288" s="914"/>
      <c r="AA288" s="102"/>
      <c r="AB288" s="102"/>
      <c r="AC288" s="102"/>
      <c r="AD288" s="102"/>
      <c r="AE288" s="102"/>
      <c r="AF288" s="102"/>
      <c r="AG288" s="102"/>
      <c r="AH288" s="102"/>
      <c r="AI288" s="102"/>
      <c r="AJ288" s="906"/>
      <c r="AK288" s="102"/>
      <c r="AL288" s="915"/>
      <c r="AM288" s="915"/>
      <c r="AN288" s="114"/>
      <c r="AO288" s="64"/>
      <c r="AP288" s="64"/>
      <c r="AQ288" s="64"/>
      <c r="AR288" s="916"/>
      <c r="AS288" s="916"/>
      <c r="AT288" s="916"/>
      <c r="AU288" s="917"/>
      <c r="AV288" s="917"/>
      <c r="AW288" s="917"/>
      <c r="AX288" s="918"/>
      <c r="AY288" s="916"/>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917"/>
      <c r="CA288" s="917"/>
      <c r="CB288" s="64"/>
      <c r="CC288" s="919"/>
      <c r="CD288" s="919"/>
      <c r="CE288" s="64"/>
      <c r="CF288" s="528"/>
      <c r="CG288" s="529"/>
      <c r="CH288" s="64"/>
      <c r="CI288" s="64"/>
      <c r="CJ288" s="64"/>
      <c r="CK288" s="64"/>
      <c r="CL288" s="64"/>
      <c r="CM288" s="64"/>
      <c r="CN288" s="64"/>
      <c r="CO288" s="64"/>
      <c r="CP288" s="64"/>
      <c r="CQ288" s="64"/>
      <c r="CR288" s="64"/>
      <c r="CS288" s="64"/>
      <c r="CT288" s="64"/>
      <c r="CU288" s="64"/>
      <c r="CV288" s="64"/>
      <c r="CW288" s="64"/>
      <c r="CX288" s="64"/>
      <c r="CY288" s="1011"/>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c r="FC288" s="64"/>
      <c r="FD288" s="64"/>
      <c r="FE288" s="64"/>
      <c r="FF288" s="64"/>
      <c r="FG288" s="64"/>
      <c r="FH288" s="64"/>
      <c r="FI288" s="64"/>
      <c r="FJ288" s="64"/>
      <c r="FK288" s="64"/>
      <c r="FL288" s="64"/>
      <c r="FM288" s="64"/>
      <c r="FN288" s="64"/>
      <c r="FO288" s="64"/>
      <c r="FP288" s="64"/>
      <c r="FQ288" s="64"/>
      <c r="FR288" s="64"/>
      <c r="FS288" s="64"/>
      <c r="FT288" s="64"/>
      <c r="FU288" s="64"/>
      <c r="FV288" s="64"/>
      <c r="FW288" s="64"/>
      <c r="FX288" s="64"/>
      <c r="FY288" s="64"/>
      <c r="FZ288" s="64"/>
      <c r="GA288" s="64"/>
      <c r="GB288" s="64"/>
      <c r="GC288" s="64"/>
      <c r="GD288" s="64"/>
      <c r="GE288" s="64"/>
      <c r="GF288" s="64"/>
      <c r="GG288" s="64"/>
      <c r="GH288" s="64"/>
      <c r="GI288" s="64"/>
      <c r="GJ288" s="64"/>
      <c r="GK288" s="64"/>
      <c r="GL288" s="64"/>
      <c r="GM288" s="64"/>
      <c r="GN288" s="64"/>
      <c r="GO288" s="64"/>
      <c r="GP288" s="64"/>
      <c r="GQ288" s="64"/>
      <c r="GR288" s="64"/>
      <c r="GS288" s="64"/>
      <c r="GT288" s="64"/>
      <c r="GU288" s="64"/>
      <c r="GV288" s="64"/>
      <c r="GW288" s="64"/>
      <c r="GX288" s="64"/>
      <c r="GY288" s="64"/>
      <c r="GZ288" s="64"/>
      <c r="HA288" s="64"/>
      <c r="HB288" s="64"/>
      <c r="HC288" s="64"/>
      <c r="HD288" s="64"/>
      <c r="HE288" s="64"/>
      <c r="HF288" s="64"/>
      <c r="HG288" s="64"/>
      <c r="HH288" s="64"/>
      <c r="HI288" s="64"/>
      <c r="HJ288" s="64"/>
      <c r="HK288" s="64"/>
      <c r="HL288" s="64"/>
      <c r="HM288" s="64"/>
      <c r="HN288" s="64"/>
      <c r="HO288" s="64"/>
      <c r="HP288" s="64"/>
      <c r="HQ288" s="64"/>
      <c r="HR288" s="64"/>
      <c r="HS288" s="64"/>
      <c r="HT288" s="64"/>
      <c r="HU288" s="64"/>
      <c r="HV288" s="64"/>
      <c r="HW288" s="64"/>
      <c r="HX288" s="64"/>
      <c r="HY288" s="64"/>
      <c r="HZ288" s="64"/>
      <c r="IA288" s="64"/>
      <c r="IB288" s="64"/>
      <c r="IC288" s="64"/>
      <c r="ID288" s="64"/>
      <c r="IE288" s="64"/>
      <c r="IF288" s="64"/>
      <c r="IG288" s="64"/>
      <c r="IH288" s="64"/>
      <c r="II288" s="64"/>
      <c r="IJ288" s="64"/>
      <c r="IK288" s="64"/>
      <c r="IL288" s="64"/>
      <c r="IM288" s="64"/>
      <c r="IN288" s="64"/>
      <c r="IO288" s="64"/>
      <c r="IP288" s="64"/>
      <c r="IQ288" s="64"/>
      <c r="IR288" s="64"/>
      <c r="IS288" s="64"/>
      <c r="IT288" s="64"/>
      <c r="IU288" s="64"/>
      <c r="IV288" s="64"/>
      <c r="IW288" s="64"/>
      <c r="IX288" s="64"/>
      <c r="IY288" s="64"/>
      <c r="IZ288" s="64"/>
      <c r="JA288" s="64"/>
      <c r="JB288" s="64"/>
      <c r="JC288" s="64"/>
      <c r="JD288" s="64"/>
      <c r="JE288" s="64"/>
      <c r="JF288" s="64"/>
      <c r="JG288" s="64"/>
      <c r="JH288" s="64"/>
      <c r="JI288" s="64"/>
    </row>
    <row r="289" spans="1:269" s="920" customFormat="1" x14ac:dyDescent="0.2">
      <c r="A289" s="116"/>
      <c r="B289" s="64"/>
      <c r="C289" s="64"/>
      <c r="D289" s="64"/>
      <c r="E289" s="64"/>
      <c r="F289" s="64"/>
      <c r="G289" s="64"/>
      <c r="H289" s="64"/>
      <c r="I289" s="64"/>
      <c r="J289" s="116"/>
      <c r="K289" s="116"/>
      <c r="L289" s="116"/>
      <c r="M289" s="116"/>
      <c r="N289" s="116"/>
      <c r="O289" s="116"/>
      <c r="P289" s="116"/>
      <c r="Q289" s="102"/>
      <c r="R289" s="102"/>
      <c r="S289" s="102"/>
      <c r="T289" s="102"/>
      <c r="U289" s="913"/>
      <c r="V289" s="114"/>
      <c r="W289" s="805"/>
      <c r="X289" s="805"/>
      <c r="Y289" s="805"/>
      <c r="Z289" s="914"/>
      <c r="AA289" s="102"/>
      <c r="AB289" s="102"/>
      <c r="AC289" s="102"/>
      <c r="AD289" s="102"/>
      <c r="AE289" s="102"/>
      <c r="AF289" s="102"/>
      <c r="AG289" s="102"/>
      <c r="AH289" s="102"/>
      <c r="AI289" s="102"/>
      <c r="AJ289" s="906"/>
      <c r="AK289" s="102"/>
      <c r="AL289" s="915"/>
      <c r="AM289" s="915"/>
      <c r="AN289" s="114"/>
      <c r="AO289" s="64"/>
      <c r="AP289" s="64"/>
      <c r="AQ289" s="64"/>
      <c r="AR289" s="916"/>
      <c r="AS289" s="916"/>
      <c r="AT289" s="916"/>
      <c r="AU289" s="917"/>
      <c r="AV289" s="917"/>
      <c r="AW289" s="917"/>
      <c r="AX289" s="918"/>
      <c r="AY289" s="916"/>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917"/>
      <c r="CA289" s="917"/>
      <c r="CB289" s="64"/>
      <c r="CC289" s="919"/>
      <c r="CD289" s="919"/>
      <c r="CE289" s="64"/>
      <c r="CF289" s="528"/>
      <c r="CG289" s="529"/>
      <c r="CH289" s="64"/>
      <c r="CI289" s="64"/>
      <c r="CJ289" s="64"/>
      <c r="CK289" s="64"/>
      <c r="CL289" s="64"/>
      <c r="CM289" s="64"/>
      <c r="CN289" s="64"/>
      <c r="CO289" s="64"/>
      <c r="CP289" s="64"/>
      <c r="CQ289" s="64"/>
      <c r="CR289" s="64"/>
      <c r="CS289" s="64"/>
      <c r="CT289" s="64"/>
      <c r="CU289" s="64"/>
      <c r="CV289" s="64"/>
      <c r="CW289" s="64"/>
      <c r="CX289" s="64"/>
      <c r="CY289" s="1011"/>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c r="FC289" s="64"/>
      <c r="FD289" s="64"/>
      <c r="FE289" s="64"/>
      <c r="FF289" s="64"/>
      <c r="FG289" s="64"/>
      <c r="FH289" s="64"/>
      <c r="FI289" s="64"/>
      <c r="FJ289" s="64"/>
      <c r="FK289" s="64"/>
      <c r="FL289" s="64"/>
      <c r="FM289" s="64"/>
      <c r="FN289" s="64"/>
      <c r="FO289" s="64"/>
      <c r="FP289" s="64"/>
      <c r="FQ289" s="64"/>
      <c r="FR289" s="64"/>
      <c r="FS289" s="64"/>
      <c r="FT289" s="64"/>
      <c r="FU289" s="64"/>
      <c r="FV289" s="64"/>
      <c r="FW289" s="64"/>
      <c r="FX289" s="64"/>
      <c r="FY289" s="64"/>
      <c r="FZ289" s="64"/>
      <c r="GA289" s="64"/>
      <c r="GB289" s="64"/>
      <c r="GC289" s="64"/>
      <c r="GD289" s="64"/>
      <c r="GE289" s="64"/>
      <c r="GF289" s="64"/>
      <c r="GG289" s="64"/>
      <c r="GH289" s="64"/>
      <c r="GI289" s="64"/>
      <c r="GJ289" s="64"/>
      <c r="GK289" s="64"/>
      <c r="GL289" s="64"/>
      <c r="GM289" s="64"/>
      <c r="GN289" s="64"/>
      <c r="GO289" s="64"/>
      <c r="GP289" s="64"/>
      <c r="GQ289" s="64"/>
      <c r="GR289" s="64"/>
      <c r="GS289" s="64"/>
      <c r="GT289" s="64"/>
      <c r="GU289" s="64"/>
      <c r="GV289" s="64"/>
      <c r="GW289" s="64"/>
      <c r="GX289" s="64"/>
      <c r="GY289" s="64"/>
      <c r="GZ289" s="64"/>
      <c r="HA289" s="64"/>
      <c r="HB289" s="64"/>
      <c r="HC289" s="64"/>
      <c r="HD289" s="64"/>
      <c r="HE289" s="64"/>
      <c r="HF289" s="64"/>
      <c r="HG289" s="64"/>
      <c r="HH289" s="64"/>
      <c r="HI289" s="64"/>
      <c r="HJ289" s="64"/>
      <c r="HK289" s="64"/>
      <c r="HL289" s="64"/>
      <c r="HM289" s="64"/>
      <c r="HN289" s="64"/>
      <c r="HO289" s="64"/>
      <c r="HP289" s="64"/>
      <c r="HQ289" s="64"/>
      <c r="HR289" s="64"/>
      <c r="HS289" s="64"/>
      <c r="HT289" s="64"/>
      <c r="HU289" s="64"/>
      <c r="HV289" s="64"/>
      <c r="HW289" s="64"/>
      <c r="HX289" s="64"/>
      <c r="HY289" s="64"/>
      <c r="HZ289" s="64"/>
      <c r="IA289" s="64"/>
      <c r="IB289" s="64"/>
      <c r="IC289" s="64"/>
      <c r="ID289" s="64"/>
      <c r="IE289" s="64"/>
      <c r="IF289" s="64"/>
      <c r="IG289" s="64"/>
      <c r="IH289" s="64"/>
      <c r="II289" s="64"/>
      <c r="IJ289" s="64"/>
      <c r="IK289" s="64"/>
      <c r="IL289" s="64"/>
      <c r="IM289" s="64"/>
      <c r="IN289" s="64"/>
      <c r="IO289" s="64"/>
      <c r="IP289" s="64"/>
      <c r="IQ289" s="64"/>
      <c r="IR289" s="64"/>
      <c r="IS289" s="64"/>
      <c r="IT289" s="64"/>
      <c r="IU289" s="64"/>
      <c r="IV289" s="64"/>
      <c r="IW289" s="64"/>
      <c r="IX289" s="64"/>
      <c r="IY289" s="64"/>
      <c r="IZ289" s="64"/>
      <c r="JA289" s="64"/>
      <c r="JB289" s="64"/>
      <c r="JC289" s="64"/>
      <c r="JD289" s="64"/>
      <c r="JE289" s="64"/>
      <c r="JF289" s="64"/>
      <c r="JG289" s="64"/>
      <c r="JH289" s="64"/>
      <c r="JI289" s="64"/>
    </row>
    <row r="290" spans="1:269" s="920" customFormat="1" x14ac:dyDescent="0.2">
      <c r="A290" s="116"/>
      <c r="B290" s="64"/>
      <c r="C290" s="64"/>
      <c r="D290" s="64"/>
      <c r="E290" s="64"/>
      <c r="F290" s="64"/>
      <c r="G290" s="64"/>
      <c r="H290" s="64"/>
      <c r="I290" s="64"/>
      <c r="J290" s="116"/>
      <c r="K290" s="116"/>
      <c r="L290" s="116"/>
      <c r="M290" s="116"/>
      <c r="N290" s="116"/>
      <c r="O290" s="116"/>
      <c r="P290" s="116"/>
      <c r="Q290" s="102"/>
      <c r="R290" s="102"/>
      <c r="S290" s="102"/>
      <c r="T290" s="102"/>
      <c r="U290" s="913"/>
      <c r="V290" s="114"/>
      <c r="W290" s="805"/>
      <c r="X290" s="805"/>
      <c r="Y290" s="805"/>
      <c r="Z290" s="914"/>
      <c r="AA290" s="102"/>
      <c r="AB290" s="102"/>
      <c r="AC290" s="102"/>
      <c r="AD290" s="102"/>
      <c r="AE290" s="102"/>
      <c r="AF290" s="102"/>
      <c r="AG290" s="102"/>
      <c r="AH290" s="102"/>
      <c r="AI290" s="102"/>
      <c r="AJ290" s="906"/>
      <c r="AK290" s="102"/>
      <c r="AL290" s="915"/>
      <c r="AM290" s="915"/>
      <c r="AN290" s="114"/>
      <c r="AO290" s="64"/>
      <c r="AP290" s="64"/>
      <c r="AQ290" s="64"/>
      <c r="AR290" s="916"/>
      <c r="AS290" s="916"/>
      <c r="AT290" s="916"/>
      <c r="AU290" s="917"/>
      <c r="AV290" s="917"/>
      <c r="AW290" s="917"/>
      <c r="AX290" s="918"/>
      <c r="AY290" s="916"/>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917"/>
      <c r="CA290" s="917"/>
      <c r="CB290" s="64"/>
      <c r="CC290" s="919"/>
      <c r="CD290" s="919"/>
      <c r="CE290" s="64"/>
      <c r="CF290" s="528"/>
      <c r="CG290" s="529"/>
      <c r="CH290" s="64"/>
      <c r="CI290" s="64"/>
      <c r="CJ290" s="64"/>
      <c r="CK290" s="64"/>
      <c r="CL290" s="64"/>
      <c r="CM290" s="64"/>
      <c r="CN290" s="64"/>
      <c r="CO290" s="64"/>
      <c r="CP290" s="64"/>
      <c r="CQ290" s="64"/>
      <c r="CR290" s="64"/>
      <c r="CS290" s="64"/>
      <c r="CT290" s="64"/>
      <c r="CU290" s="64"/>
      <c r="CV290" s="64"/>
      <c r="CW290" s="64"/>
      <c r="CX290" s="64"/>
      <c r="CY290" s="1011"/>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c r="FC290" s="64"/>
      <c r="FD290" s="64"/>
      <c r="FE290" s="64"/>
      <c r="FF290" s="64"/>
      <c r="FG290" s="64"/>
      <c r="FH290" s="64"/>
      <c r="FI290" s="64"/>
      <c r="FJ290" s="64"/>
      <c r="FK290" s="64"/>
      <c r="FL290" s="64"/>
      <c r="FM290" s="64"/>
      <c r="FN290" s="64"/>
      <c r="FO290" s="64"/>
      <c r="FP290" s="64"/>
      <c r="FQ290" s="64"/>
      <c r="FR290" s="64"/>
      <c r="FS290" s="64"/>
      <c r="FT290" s="64"/>
      <c r="FU290" s="64"/>
      <c r="FV290" s="64"/>
      <c r="FW290" s="64"/>
      <c r="FX290" s="64"/>
      <c r="FY290" s="64"/>
      <c r="FZ290" s="64"/>
      <c r="GA290" s="64"/>
      <c r="GB290" s="64"/>
      <c r="GC290" s="64"/>
      <c r="GD290" s="64"/>
      <c r="GE290" s="64"/>
      <c r="GF290" s="64"/>
      <c r="GG290" s="64"/>
      <c r="GH290" s="64"/>
      <c r="GI290" s="64"/>
      <c r="GJ290" s="64"/>
      <c r="GK290" s="64"/>
      <c r="GL290" s="64"/>
      <c r="GM290" s="64"/>
      <c r="GN290" s="64"/>
      <c r="GO290" s="64"/>
      <c r="GP290" s="64"/>
      <c r="GQ290" s="64"/>
      <c r="GR290" s="64"/>
      <c r="GS290" s="64"/>
      <c r="GT290" s="64"/>
      <c r="GU290" s="64"/>
      <c r="GV290" s="64"/>
      <c r="GW290" s="64"/>
      <c r="GX290" s="64"/>
      <c r="GY290" s="64"/>
      <c r="GZ290" s="64"/>
      <c r="HA290" s="64"/>
      <c r="HB290" s="64"/>
      <c r="HC290" s="64"/>
      <c r="HD290" s="64"/>
      <c r="HE290" s="64"/>
      <c r="HF290" s="64"/>
      <c r="HG290" s="64"/>
      <c r="HH290" s="64"/>
      <c r="HI290" s="64"/>
      <c r="HJ290" s="64"/>
      <c r="HK290" s="64"/>
      <c r="HL290" s="64"/>
      <c r="HM290" s="64"/>
      <c r="HN290" s="64"/>
      <c r="HO290" s="64"/>
      <c r="HP290" s="64"/>
      <c r="HQ290" s="64"/>
      <c r="HR290" s="64"/>
      <c r="HS290" s="64"/>
      <c r="HT290" s="64"/>
      <c r="HU290" s="64"/>
      <c r="HV290" s="64"/>
      <c r="HW290" s="64"/>
      <c r="HX290" s="64"/>
      <c r="HY290" s="64"/>
      <c r="HZ290" s="64"/>
      <c r="IA290" s="64"/>
      <c r="IB290" s="64"/>
      <c r="IC290" s="64"/>
      <c r="ID290" s="64"/>
      <c r="IE290" s="64"/>
      <c r="IF290" s="64"/>
      <c r="IG290" s="64"/>
      <c r="IH290" s="64"/>
      <c r="II290" s="64"/>
      <c r="IJ290" s="64"/>
      <c r="IK290" s="64"/>
      <c r="IL290" s="64"/>
      <c r="IM290" s="64"/>
      <c r="IN290" s="64"/>
      <c r="IO290" s="64"/>
      <c r="IP290" s="64"/>
      <c r="IQ290" s="64"/>
      <c r="IR290" s="64"/>
      <c r="IS290" s="64"/>
      <c r="IT290" s="64"/>
      <c r="IU290" s="64"/>
      <c r="IV290" s="64"/>
      <c r="IW290" s="64"/>
      <c r="IX290" s="64"/>
      <c r="IY290" s="64"/>
      <c r="IZ290" s="64"/>
      <c r="JA290" s="64"/>
      <c r="JB290" s="64"/>
      <c r="JC290" s="64"/>
      <c r="JD290" s="64"/>
      <c r="JE290" s="64"/>
      <c r="JF290" s="64"/>
      <c r="JG290" s="64"/>
      <c r="JH290" s="64"/>
      <c r="JI290" s="64"/>
    </row>
    <row r="291" spans="1:269" s="920" customFormat="1" x14ac:dyDescent="0.2">
      <c r="A291" s="116"/>
      <c r="B291" s="64"/>
      <c r="C291" s="64"/>
      <c r="D291" s="64"/>
      <c r="E291" s="64"/>
      <c r="F291" s="64"/>
      <c r="G291" s="64"/>
      <c r="H291" s="64"/>
      <c r="I291" s="64"/>
      <c r="J291" s="116"/>
      <c r="K291" s="116"/>
      <c r="L291" s="116"/>
      <c r="M291" s="116"/>
      <c r="N291" s="116"/>
      <c r="O291" s="116"/>
      <c r="P291" s="116"/>
      <c r="Q291" s="102"/>
      <c r="R291" s="102"/>
      <c r="S291" s="102"/>
      <c r="T291" s="102"/>
      <c r="U291" s="913"/>
      <c r="V291" s="114"/>
      <c r="W291" s="805"/>
      <c r="X291" s="805"/>
      <c r="Y291" s="805"/>
      <c r="Z291" s="914"/>
      <c r="AA291" s="102"/>
      <c r="AB291" s="102"/>
      <c r="AC291" s="102"/>
      <c r="AD291" s="102"/>
      <c r="AE291" s="102"/>
      <c r="AF291" s="102"/>
      <c r="AG291" s="102"/>
      <c r="AH291" s="102"/>
      <c r="AI291" s="102"/>
      <c r="AJ291" s="906"/>
      <c r="AK291" s="102"/>
      <c r="AL291" s="915"/>
      <c r="AM291" s="915"/>
      <c r="AN291" s="114"/>
      <c r="AO291" s="64"/>
      <c r="AP291" s="64"/>
      <c r="AQ291" s="64"/>
      <c r="AR291" s="916"/>
      <c r="AS291" s="916"/>
      <c r="AT291" s="916"/>
      <c r="AU291" s="917"/>
      <c r="AV291" s="917"/>
      <c r="AW291" s="917"/>
      <c r="AX291" s="918"/>
      <c r="AY291" s="916"/>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917"/>
      <c r="CA291" s="917"/>
      <c r="CB291" s="64"/>
      <c r="CC291" s="919"/>
      <c r="CD291" s="919"/>
      <c r="CE291" s="64"/>
      <c r="CF291" s="528"/>
      <c r="CG291" s="529"/>
      <c r="CH291" s="64"/>
      <c r="CI291" s="64"/>
      <c r="CJ291" s="64"/>
      <c r="CK291" s="64"/>
      <c r="CL291" s="64"/>
      <c r="CM291" s="64"/>
      <c r="CN291" s="64"/>
      <c r="CO291" s="64"/>
      <c r="CP291" s="64"/>
      <c r="CQ291" s="64"/>
      <c r="CR291" s="64"/>
      <c r="CS291" s="64"/>
      <c r="CT291" s="64"/>
      <c r="CU291" s="64"/>
      <c r="CV291" s="64"/>
      <c r="CW291" s="64"/>
      <c r="CX291" s="64"/>
      <c r="CY291" s="1011"/>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c r="FC291" s="64"/>
      <c r="FD291" s="64"/>
      <c r="FE291" s="64"/>
      <c r="FF291" s="64"/>
      <c r="FG291" s="64"/>
      <c r="FH291" s="64"/>
      <c r="FI291" s="64"/>
      <c r="FJ291" s="64"/>
      <c r="FK291" s="64"/>
      <c r="FL291" s="64"/>
      <c r="FM291" s="64"/>
      <c r="FN291" s="64"/>
      <c r="FO291" s="64"/>
      <c r="FP291" s="64"/>
      <c r="FQ291" s="64"/>
      <c r="FR291" s="64"/>
      <c r="FS291" s="64"/>
      <c r="FT291" s="64"/>
      <c r="FU291" s="64"/>
      <c r="FV291" s="64"/>
      <c r="FW291" s="64"/>
      <c r="FX291" s="64"/>
      <c r="FY291" s="64"/>
      <c r="FZ291" s="64"/>
      <c r="GA291" s="64"/>
      <c r="GB291" s="64"/>
      <c r="GC291" s="64"/>
      <c r="GD291" s="64"/>
      <c r="GE291" s="64"/>
      <c r="GF291" s="64"/>
      <c r="GG291" s="64"/>
      <c r="GH291" s="64"/>
      <c r="GI291" s="64"/>
      <c r="GJ291" s="64"/>
      <c r="GK291" s="64"/>
      <c r="GL291" s="64"/>
      <c r="GM291" s="64"/>
      <c r="GN291" s="64"/>
      <c r="GO291" s="64"/>
      <c r="GP291" s="64"/>
      <c r="GQ291" s="64"/>
      <c r="GR291" s="64"/>
      <c r="GS291" s="64"/>
      <c r="GT291" s="64"/>
      <c r="GU291" s="64"/>
      <c r="GV291" s="64"/>
      <c r="GW291" s="64"/>
      <c r="GX291" s="64"/>
      <c r="GY291" s="64"/>
      <c r="GZ291" s="64"/>
      <c r="HA291" s="64"/>
      <c r="HB291" s="64"/>
      <c r="HC291" s="64"/>
      <c r="HD291" s="64"/>
      <c r="HE291" s="64"/>
      <c r="HF291" s="64"/>
      <c r="HG291" s="64"/>
      <c r="HH291" s="64"/>
      <c r="HI291" s="64"/>
      <c r="HJ291" s="64"/>
      <c r="HK291" s="64"/>
      <c r="HL291" s="64"/>
      <c r="HM291" s="64"/>
      <c r="HN291" s="64"/>
      <c r="HO291" s="64"/>
      <c r="HP291" s="64"/>
      <c r="HQ291" s="64"/>
      <c r="HR291" s="64"/>
      <c r="HS291" s="64"/>
      <c r="HT291" s="64"/>
      <c r="HU291" s="64"/>
      <c r="HV291" s="64"/>
      <c r="HW291" s="64"/>
      <c r="HX291" s="64"/>
      <c r="HY291" s="64"/>
      <c r="HZ291" s="64"/>
      <c r="IA291" s="64"/>
      <c r="IB291" s="64"/>
      <c r="IC291" s="64"/>
      <c r="ID291" s="64"/>
      <c r="IE291" s="64"/>
      <c r="IF291" s="64"/>
      <c r="IG291" s="64"/>
      <c r="IH291" s="64"/>
      <c r="II291" s="64"/>
      <c r="IJ291" s="64"/>
      <c r="IK291" s="64"/>
      <c r="IL291" s="64"/>
      <c r="IM291" s="64"/>
      <c r="IN291" s="64"/>
      <c r="IO291" s="64"/>
      <c r="IP291" s="64"/>
      <c r="IQ291" s="64"/>
      <c r="IR291" s="64"/>
      <c r="IS291" s="64"/>
      <c r="IT291" s="64"/>
      <c r="IU291" s="64"/>
      <c r="IV291" s="64"/>
      <c r="IW291" s="64"/>
      <c r="IX291" s="64"/>
      <c r="IY291" s="64"/>
      <c r="IZ291" s="64"/>
      <c r="JA291" s="64"/>
      <c r="JB291" s="64"/>
      <c r="JC291" s="64"/>
      <c r="JD291" s="64"/>
      <c r="JE291" s="64"/>
      <c r="JF291" s="64"/>
      <c r="JG291" s="64"/>
      <c r="JH291" s="64"/>
      <c r="JI291" s="64"/>
    </row>
    <row r="292" spans="1:269" s="920" customFormat="1" x14ac:dyDescent="0.2">
      <c r="A292" s="116"/>
      <c r="B292" s="64"/>
      <c r="C292" s="64"/>
      <c r="D292" s="64"/>
      <c r="E292" s="64"/>
      <c r="F292" s="64"/>
      <c r="G292" s="64"/>
      <c r="H292" s="64"/>
      <c r="I292" s="64"/>
      <c r="J292" s="116"/>
      <c r="K292" s="116"/>
      <c r="L292" s="116"/>
      <c r="M292" s="116"/>
      <c r="N292" s="116"/>
      <c r="O292" s="116"/>
      <c r="P292" s="116"/>
      <c r="Q292" s="102"/>
      <c r="R292" s="102"/>
      <c r="S292" s="102"/>
      <c r="T292" s="102"/>
      <c r="U292" s="913"/>
      <c r="V292" s="114"/>
      <c r="W292" s="805"/>
      <c r="X292" s="805"/>
      <c r="Y292" s="805"/>
      <c r="Z292" s="914"/>
      <c r="AA292" s="102"/>
      <c r="AB292" s="102"/>
      <c r="AC292" s="102"/>
      <c r="AD292" s="102"/>
      <c r="AE292" s="102"/>
      <c r="AF292" s="102"/>
      <c r="AG292" s="102"/>
      <c r="AH292" s="102"/>
      <c r="AI292" s="102"/>
      <c r="AJ292" s="906"/>
      <c r="AK292" s="102"/>
      <c r="AL292" s="915"/>
      <c r="AM292" s="915"/>
      <c r="AN292" s="114"/>
      <c r="AO292" s="64"/>
      <c r="AP292" s="64"/>
      <c r="AQ292" s="64"/>
      <c r="AR292" s="916"/>
      <c r="AS292" s="916"/>
      <c r="AT292" s="916"/>
      <c r="AU292" s="917"/>
      <c r="AV292" s="917"/>
      <c r="AW292" s="917"/>
      <c r="AX292" s="918"/>
      <c r="AY292" s="916"/>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917"/>
      <c r="CA292" s="917"/>
      <c r="CB292" s="64"/>
      <c r="CC292" s="919"/>
      <c r="CD292" s="919"/>
      <c r="CE292" s="64"/>
      <c r="CF292" s="528"/>
      <c r="CG292" s="529"/>
      <c r="CH292" s="64"/>
      <c r="CI292" s="64"/>
      <c r="CJ292" s="64"/>
      <c r="CK292" s="64"/>
      <c r="CL292" s="64"/>
      <c r="CM292" s="64"/>
      <c r="CN292" s="64"/>
      <c r="CO292" s="64"/>
      <c r="CP292" s="64"/>
      <c r="CQ292" s="64"/>
      <c r="CR292" s="64"/>
      <c r="CS292" s="64"/>
      <c r="CT292" s="64"/>
      <c r="CU292" s="64"/>
      <c r="CV292" s="64"/>
      <c r="CW292" s="64"/>
      <c r="CX292" s="64"/>
      <c r="CY292" s="1011"/>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c r="FC292" s="64"/>
      <c r="FD292" s="64"/>
      <c r="FE292" s="64"/>
      <c r="FF292" s="64"/>
      <c r="FG292" s="64"/>
      <c r="FH292" s="64"/>
      <c r="FI292" s="64"/>
      <c r="FJ292" s="64"/>
      <c r="FK292" s="64"/>
      <c r="FL292" s="64"/>
      <c r="FM292" s="64"/>
      <c r="FN292" s="64"/>
      <c r="FO292" s="64"/>
      <c r="FP292" s="64"/>
      <c r="FQ292" s="64"/>
      <c r="FR292" s="64"/>
      <c r="FS292" s="64"/>
      <c r="FT292" s="64"/>
      <c r="FU292" s="64"/>
      <c r="FV292" s="64"/>
      <c r="FW292" s="64"/>
      <c r="FX292" s="64"/>
      <c r="FY292" s="64"/>
      <c r="FZ292" s="64"/>
      <c r="GA292" s="64"/>
      <c r="GB292" s="64"/>
      <c r="GC292" s="64"/>
      <c r="GD292" s="64"/>
      <c r="GE292" s="64"/>
      <c r="GF292" s="64"/>
      <c r="GG292" s="64"/>
      <c r="GH292" s="64"/>
      <c r="GI292" s="64"/>
      <c r="GJ292" s="64"/>
      <c r="GK292" s="64"/>
      <c r="GL292" s="64"/>
      <c r="GM292" s="64"/>
      <c r="GN292" s="64"/>
      <c r="GO292" s="64"/>
      <c r="GP292" s="64"/>
      <c r="GQ292" s="64"/>
      <c r="GR292" s="64"/>
      <c r="GS292" s="64"/>
      <c r="GT292" s="64"/>
      <c r="GU292" s="64"/>
      <c r="GV292" s="64"/>
      <c r="GW292" s="64"/>
      <c r="GX292" s="64"/>
      <c r="GY292" s="64"/>
      <c r="GZ292" s="64"/>
      <c r="HA292" s="64"/>
      <c r="HB292" s="64"/>
      <c r="HC292" s="64"/>
      <c r="HD292" s="64"/>
      <c r="HE292" s="64"/>
      <c r="HF292" s="64"/>
      <c r="HG292" s="64"/>
      <c r="HH292" s="64"/>
      <c r="HI292" s="64"/>
      <c r="HJ292" s="64"/>
      <c r="HK292" s="64"/>
      <c r="HL292" s="64"/>
      <c r="HM292" s="64"/>
      <c r="HN292" s="64"/>
      <c r="HO292" s="64"/>
      <c r="HP292" s="64"/>
      <c r="HQ292" s="64"/>
      <c r="HR292" s="64"/>
      <c r="HS292" s="64"/>
      <c r="HT292" s="64"/>
      <c r="HU292" s="64"/>
      <c r="HV292" s="64"/>
      <c r="HW292" s="64"/>
      <c r="HX292" s="64"/>
      <c r="HY292" s="64"/>
      <c r="HZ292" s="64"/>
      <c r="IA292" s="64"/>
      <c r="IB292" s="64"/>
      <c r="IC292" s="64"/>
      <c r="ID292" s="64"/>
      <c r="IE292" s="64"/>
      <c r="IF292" s="64"/>
      <c r="IG292" s="64"/>
      <c r="IH292" s="64"/>
      <c r="II292" s="64"/>
      <c r="IJ292" s="64"/>
      <c r="IK292" s="64"/>
      <c r="IL292" s="64"/>
      <c r="IM292" s="64"/>
      <c r="IN292" s="64"/>
      <c r="IO292" s="64"/>
      <c r="IP292" s="64"/>
      <c r="IQ292" s="64"/>
      <c r="IR292" s="64"/>
      <c r="IS292" s="64"/>
      <c r="IT292" s="64"/>
      <c r="IU292" s="64"/>
      <c r="IV292" s="64"/>
      <c r="IW292" s="64"/>
      <c r="IX292" s="64"/>
      <c r="IY292" s="64"/>
      <c r="IZ292" s="64"/>
      <c r="JA292" s="64"/>
      <c r="JB292" s="64"/>
      <c r="JC292" s="64"/>
      <c r="JD292" s="64"/>
      <c r="JE292" s="64"/>
      <c r="JF292" s="64"/>
      <c r="JG292" s="64"/>
      <c r="JH292" s="64"/>
      <c r="JI292" s="64"/>
    </row>
    <row r="293" spans="1:269" s="920" customFormat="1" x14ac:dyDescent="0.2">
      <c r="A293" s="116"/>
      <c r="B293" s="64"/>
      <c r="C293" s="64"/>
      <c r="D293" s="64"/>
      <c r="E293" s="64"/>
      <c r="F293" s="64"/>
      <c r="G293" s="64"/>
      <c r="H293" s="64"/>
      <c r="I293" s="64"/>
      <c r="J293" s="116"/>
      <c r="K293" s="116"/>
      <c r="L293" s="116"/>
      <c r="M293" s="116"/>
      <c r="N293" s="116"/>
      <c r="O293" s="116"/>
      <c r="P293" s="116"/>
      <c r="Q293" s="102"/>
      <c r="R293" s="102"/>
      <c r="S293" s="102"/>
      <c r="T293" s="102"/>
      <c r="U293" s="913"/>
      <c r="V293" s="114"/>
      <c r="W293" s="805"/>
      <c r="X293" s="805"/>
      <c r="Y293" s="805"/>
      <c r="Z293" s="914"/>
      <c r="AA293" s="102"/>
      <c r="AB293" s="102"/>
      <c r="AC293" s="102"/>
      <c r="AD293" s="102"/>
      <c r="AE293" s="102"/>
      <c r="AF293" s="102"/>
      <c r="AG293" s="102"/>
      <c r="AH293" s="102"/>
      <c r="AI293" s="102"/>
      <c r="AJ293" s="906"/>
      <c r="AK293" s="102"/>
      <c r="AL293" s="915"/>
      <c r="AM293" s="915"/>
      <c r="AN293" s="114"/>
      <c r="AO293" s="64"/>
      <c r="AP293" s="64"/>
      <c r="AQ293" s="64"/>
      <c r="AR293" s="916"/>
      <c r="AS293" s="916"/>
      <c r="AT293" s="916"/>
      <c r="AU293" s="917"/>
      <c r="AV293" s="917"/>
      <c r="AW293" s="917"/>
      <c r="AX293" s="918"/>
      <c r="AY293" s="916"/>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917"/>
      <c r="CA293" s="917"/>
      <c r="CB293" s="64"/>
      <c r="CC293" s="919"/>
      <c r="CD293" s="919"/>
      <c r="CE293" s="64"/>
      <c r="CF293" s="528"/>
      <c r="CG293" s="529"/>
      <c r="CH293" s="64"/>
      <c r="CI293" s="64"/>
      <c r="CJ293" s="64"/>
      <c r="CK293" s="64"/>
      <c r="CL293" s="64"/>
      <c r="CM293" s="64"/>
      <c r="CN293" s="64"/>
      <c r="CO293" s="64"/>
      <c r="CP293" s="64"/>
      <c r="CQ293" s="64"/>
      <c r="CR293" s="64"/>
      <c r="CS293" s="64"/>
      <c r="CT293" s="64"/>
      <c r="CU293" s="64"/>
      <c r="CV293" s="64"/>
      <c r="CW293" s="64"/>
      <c r="CX293" s="64"/>
      <c r="CY293" s="1011"/>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c r="FC293" s="64"/>
      <c r="FD293" s="64"/>
      <c r="FE293" s="64"/>
      <c r="FF293" s="64"/>
      <c r="FG293" s="64"/>
      <c r="FH293" s="64"/>
      <c r="FI293" s="64"/>
      <c r="FJ293" s="64"/>
      <c r="FK293" s="64"/>
      <c r="FL293" s="64"/>
      <c r="FM293" s="64"/>
      <c r="FN293" s="64"/>
      <c r="FO293" s="64"/>
      <c r="FP293" s="64"/>
      <c r="FQ293" s="64"/>
      <c r="FR293" s="64"/>
      <c r="FS293" s="64"/>
      <c r="FT293" s="64"/>
      <c r="FU293" s="64"/>
      <c r="FV293" s="64"/>
      <c r="FW293" s="64"/>
      <c r="FX293" s="64"/>
      <c r="FY293" s="64"/>
      <c r="FZ293" s="64"/>
      <c r="GA293" s="64"/>
      <c r="GB293" s="64"/>
      <c r="GC293" s="64"/>
      <c r="GD293" s="64"/>
      <c r="GE293" s="64"/>
      <c r="GF293" s="64"/>
      <c r="GG293" s="64"/>
      <c r="GH293" s="64"/>
      <c r="GI293" s="64"/>
      <c r="GJ293" s="64"/>
      <c r="GK293" s="64"/>
      <c r="GL293" s="64"/>
      <c r="GM293" s="64"/>
      <c r="GN293" s="64"/>
      <c r="GO293" s="64"/>
      <c r="GP293" s="64"/>
      <c r="GQ293" s="64"/>
      <c r="GR293" s="64"/>
      <c r="GS293" s="64"/>
      <c r="GT293" s="64"/>
      <c r="GU293" s="64"/>
      <c r="GV293" s="64"/>
      <c r="GW293" s="64"/>
      <c r="GX293" s="64"/>
      <c r="GY293" s="64"/>
      <c r="GZ293" s="64"/>
      <c r="HA293" s="64"/>
      <c r="HB293" s="64"/>
      <c r="HC293" s="64"/>
      <c r="HD293" s="64"/>
      <c r="HE293" s="64"/>
      <c r="HF293" s="64"/>
      <c r="HG293" s="64"/>
      <c r="HH293" s="64"/>
      <c r="HI293" s="64"/>
      <c r="HJ293" s="64"/>
      <c r="HK293" s="64"/>
      <c r="HL293" s="64"/>
      <c r="HM293" s="64"/>
      <c r="HN293" s="64"/>
      <c r="HO293" s="64"/>
      <c r="HP293" s="64"/>
      <c r="HQ293" s="64"/>
      <c r="HR293" s="64"/>
      <c r="HS293" s="64"/>
      <c r="HT293" s="64"/>
      <c r="HU293" s="64"/>
      <c r="HV293" s="64"/>
      <c r="HW293" s="64"/>
      <c r="HX293" s="64"/>
      <c r="HY293" s="64"/>
      <c r="HZ293" s="64"/>
      <c r="IA293" s="64"/>
      <c r="IB293" s="64"/>
      <c r="IC293" s="64"/>
      <c r="ID293" s="64"/>
      <c r="IE293" s="64"/>
      <c r="IF293" s="64"/>
      <c r="IG293" s="64"/>
      <c r="IH293" s="64"/>
      <c r="II293" s="64"/>
      <c r="IJ293" s="64"/>
      <c r="IK293" s="64"/>
      <c r="IL293" s="64"/>
      <c r="IM293" s="64"/>
      <c r="IN293" s="64"/>
      <c r="IO293" s="64"/>
      <c r="IP293" s="64"/>
      <c r="IQ293" s="64"/>
      <c r="IR293" s="64"/>
      <c r="IS293" s="64"/>
      <c r="IT293" s="64"/>
      <c r="IU293" s="64"/>
      <c r="IV293" s="64"/>
      <c r="IW293" s="64"/>
      <c r="IX293" s="64"/>
      <c r="IY293" s="64"/>
      <c r="IZ293" s="64"/>
      <c r="JA293" s="64"/>
      <c r="JB293" s="64"/>
      <c r="JC293" s="64"/>
      <c r="JD293" s="64"/>
      <c r="JE293" s="64"/>
      <c r="JF293" s="64"/>
      <c r="JG293" s="64"/>
      <c r="JH293" s="64"/>
      <c r="JI293" s="64"/>
    </row>
    <row r="294" spans="1:269" s="920" customFormat="1" x14ac:dyDescent="0.2">
      <c r="A294" s="116"/>
      <c r="B294" s="64"/>
      <c r="C294" s="64"/>
      <c r="D294" s="64"/>
      <c r="E294" s="64"/>
      <c r="F294" s="64"/>
      <c r="G294" s="64"/>
      <c r="H294" s="64"/>
      <c r="I294" s="64"/>
      <c r="J294" s="116"/>
      <c r="K294" s="116"/>
      <c r="L294" s="116"/>
      <c r="M294" s="116"/>
      <c r="N294" s="116"/>
      <c r="O294" s="116"/>
      <c r="P294" s="116"/>
      <c r="Q294" s="102"/>
      <c r="R294" s="102"/>
      <c r="S294" s="102"/>
      <c r="T294" s="102"/>
      <c r="U294" s="913"/>
      <c r="V294" s="114"/>
      <c r="W294" s="805"/>
      <c r="X294" s="805"/>
      <c r="Y294" s="805"/>
      <c r="Z294" s="914"/>
      <c r="AA294" s="102"/>
      <c r="AB294" s="102"/>
      <c r="AC294" s="102"/>
      <c r="AD294" s="102"/>
      <c r="AE294" s="102"/>
      <c r="AF294" s="102"/>
      <c r="AG294" s="102"/>
      <c r="AH294" s="102"/>
      <c r="AI294" s="102"/>
      <c r="AJ294" s="906"/>
      <c r="AK294" s="102"/>
      <c r="AL294" s="915"/>
      <c r="AM294" s="915"/>
      <c r="AN294" s="114"/>
      <c r="AO294" s="64"/>
      <c r="AP294" s="64"/>
      <c r="AQ294" s="64"/>
      <c r="AR294" s="916"/>
      <c r="AS294" s="916"/>
      <c r="AT294" s="916"/>
      <c r="AU294" s="917"/>
      <c r="AV294" s="917"/>
      <c r="AW294" s="917"/>
      <c r="AX294" s="918"/>
      <c r="AY294" s="916"/>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917"/>
      <c r="CA294" s="917"/>
      <c r="CB294" s="64"/>
      <c r="CC294" s="919"/>
      <c r="CD294" s="919"/>
      <c r="CE294" s="64"/>
      <c r="CF294" s="528"/>
      <c r="CG294" s="529"/>
      <c r="CH294" s="64"/>
      <c r="CI294" s="64"/>
      <c r="CJ294" s="64"/>
      <c r="CK294" s="64"/>
      <c r="CL294" s="64"/>
      <c r="CM294" s="64"/>
      <c r="CN294" s="64"/>
      <c r="CO294" s="64"/>
      <c r="CP294" s="64"/>
      <c r="CQ294" s="64"/>
      <c r="CR294" s="64"/>
      <c r="CS294" s="64"/>
      <c r="CT294" s="64"/>
      <c r="CU294" s="64"/>
      <c r="CV294" s="64"/>
      <c r="CW294" s="64"/>
      <c r="CX294" s="64"/>
      <c r="CY294" s="1011"/>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c r="FC294" s="64"/>
      <c r="FD294" s="64"/>
      <c r="FE294" s="64"/>
      <c r="FF294" s="64"/>
      <c r="FG294" s="64"/>
      <c r="FH294" s="64"/>
      <c r="FI294" s="64"/>
      <c r="FJ294" s="64"/>
      <c r="FK294" s="64"/>
      <c r="FL294" s="64"/>
      <c r="FM294" s="64"/>
      <c r="FN294" s="64"/>
      <c r="FO294" s="64"/>
      <c r="FP294" s="64"/>
      <c r="FQ294" s="64"/>
      <c r="FR294" s="64"/>
      <c r="FS294" s="64"/>
      <c r="FT294" s="64"/>
      <c r="FU294" s="64"/>
      <c r="FV294" s="64"/>
      <c r="FW294" s="64"/>
      <c r="FX294" s="64"/>
      <c r="FY294" s="64"/>
      <c r="FZ294" s="64"/>
      <c r="GA294" s="64"/>
      <c r="GB294" s="64"/>
      <c r="GC294" s="64"/>
      <c r="GD294" s="64"/>
      <c r="GE294" s="64"/>
      <c r="GF294" s="64"/>
      <c r="GG294" s="64"/>
      <c r="GH294" s="64"/>
      <c r="GI294" s="64"/>
      <c r="GJ294" s="64"/>
      <c r="GK294" s="64"/>
      <c r="GL294" s="64"/>
      <c r="GM294" s="64"/>
      <c r="GN294" s="64"/>
      <c r="GO294" s="64"/>
      <c r="GP294" s="64"/>
      <c r="GQ294" s="64"/>
      <c r="GR294" s="64"/>
      <c r="GS294" s="64"/>
      <c r="GT294" s="64"/>
      <c r="GU294" s="64"/>
      <c r="GV294" s="64"/>
      <c r="GW294" s="64"/>
      <c r="GX294" s="64"/>
      <c r="GY294" s="64"/>
      <c r="GZ294" s="64"/>
      <c r="HA294" s="64"/>
      <c r="HB294" s="64"/>
      <c r="HC294" s="64"/>
      <c r="HD294" s="64"/>
      <c r="HE294" s="64"/>
      <c r="HF294" s="64"/>
      <c r="HG294" s="64"/>
      <c r="HH294" s="64"/>
      <c r="HI294" s="64"/>
      <c r="HJ294" s="64"/>
      <c r="HK294" s="64"/>
      <c r="HL294" s="64"/>
      <c r="HM294" s="64"/>
      <c r="HN294" s="64"/>
      <c r="HO294" s="64"/>
      <c r="HP294" s="64"/>
      <c r="HQ294" s="64"/>
      <c r="HR294" s="64"/>
      <c r="HS294" s="64"/>
      <c r="HT294" s="64"/>
      <c r="HU294" s="64"/>
      <c r="HV294" s="64"/>
      <c r="HW294" s="64"/>
      <c r="HX294" s="64"/>
      <c r="HY294" s="64"/>
      <c r="HZ294" s="64"/>
      <c r="IA294" s="64"/>
      <c r="IB294" s="64"/>
      <c r="IC294" s="64"/>
      <c r="ID294" s="64"/>
      <c r="IE294" s="64"/>
      <c r="IF294" s="64"/>
      <c r="IG294" s="64"/>
      <c r="IH294" s="64"/>
      <c r="II294" s="64"/>
      <c r="IJ294" s="64"/>
      <c r="IK294" s="64"/>
      <c r="IL294" s="64"/>
      <c r="IM294" s="64"/>
      <c r="IN294" s="64"/>
      <c r="IO294" s="64"/>
      <c r="IP294" s="64"/>
      <c r="IQ294" s="64"/>
      <c r="IR294" s="64"/>
      <c r="IS294" s="64"/>
      <c r="IT294" s="64"/>
      <c r="IU294" s="64"/>
      <c r="IV294" s="64"/>
      <c r="IW294" s="64"/>
      <c r="IX294" s="64"/>
      <c r="IY294" s="64"/>
      <c r="IZ294" s="64"/>
      <c r="JA294" s="64"/>
      <c r="JB294" s="64"/>
      <c r="JC294" s="64"/>
      <c r="JD294" s="64"/>
      <c r="JE294" s="64"/>
      <c r="JF294" s="64"/>
      <c r="JG294" s="64"/>
      <c r="JH294" s="64"/>
      <c r="JI294" s="64"/>
    </row>
    <row r="295" spans="1:269" s="920" customFormat="1" x14ac:dyDescent="0.2">
      <c r="A295" s="116"/>
      <c r="B295" s="64"/>
      <c r="C295" s="64"/>
      <c r="D295" s="64"/>
      <c r="E295" s="64"/>
      <c r="F295" s="64"/>
      <c r="G295" s="64"/>
      <c r="H295" s="64"/>
      <c r="I295" s="64"/>
      <c r="J295" s="116"/>
      <c r="K295" s="116"/>
      <c r="L295" s="116"/>
      <c r="M295" s="116"/>
      <c r="N295" s="116"/>
      <c r="O295" s="116"/>
      <c r="P295" s="116"/>
      <c r="Q295" s="102"/>
      <c r="R295" s="102"/>
      <c r="S295" s="102"/>
      <c r="T295" s="102"/>
      <c r="U295" s="913"/>
      <c r="V295" s="114"/>
      <c r="W295" s="805"/>
      <c r="X295" s="805"/>
      <c r="Y295" s="805"/>
      <c r="Z295" s="914"/>
      <c r="AA295" s="102"/>
      <c r="AB295" s="102"/>
      <c r="AC295" s="102"/>
      <c r="AD295" s="102"/>
      <c r="AE295" s="102"/>
      <c r="AF295" s="102"/>
      <c r="AG295" s="102"/>
      <c r="AH295" s="102"/>
      <c r="AI295" s="102"/>
      <c r="AJ295" s="906"/>
      <c r="AK295" s="102"/>
      <c r="AL295" s="915"/>
      <c r="AM295" s="915"/>
      <c r="AN295" s="114"/>
      <c r="AO295" s="64"/>
      <c r="AP295" s="64"/>
      <c r="AQ295" s="64"/>
      <c r="AR295" s="916"/>
      <c r="AS295" s="916"/>
      <c r="AT295" s="916"/>
      <c r="AU295" s="917"/>
      <c r="AV295" s="917"/>
      <c r="AW295" s="917"/>
      <c r="AX295" s="918"/>
      <c r="AY295" s="916"/>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917"/>
      <c r="CA295" s="917"/>
      <c r="CB295" s="64"/>
      <c r="CC295" s="919"/>
      <c r="CD295" s="919"/>
      <c r="CE295" s="64"/>
      <c r="CF295" s="528"/>
      <c r="CG295" s="529"/>
      <c r="CH295" s="64"/>
      <c r="CI295" s="64"/>
      <c r="CJ295" s="64"/>
      <c r="CK295" s="64"/>
      <c r="CL295" s="64"/>
      <c r="CM295" s="64"/>
      <c r="CN295" s="64"/>
      <c r="CO295" s="64"/>
      <c r="CP295" s="64"/>
      <c r="CQ295" s="64"/>
      <c r="CR295" s="64"/>
      <c r="CS295" s="64"/>
      <c r="CT295" s="64"/>
      <c r="CU295" s="64"/>
      <c r="CV295" s="64"/>
      <c r="CW295" s="64"/>
      <c r="CX295" s="64"/>
      <c r="CY295" s="1011"/>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c r="FC295" s="64"/>
      <c r="FD295" s="64"/>
      <c r="FE295" s="64"/>
      <c r="FF295" s="64"/>
      <c r="FG295" s="64"/>
      <c r="FH295" s="64"/>
      <c r="FI295" s="64"/>
      <c r="FJ295" s="64"/>
      <c r="FK295" s="64"/>
      <c r="FL295" s="64"/>
      <c r="FM295" s="64"/>
      <c r="FN295" s="64"/>
      <c r="FO295" s="64"/>
      <c r="FP295" s="64"/>
      <c r="FQ295" s="64"/>
      <c r="FR295" s="64"/>
      <c r="FS295" s="64"/>
      <c r="FT295" s="64"/>
      <c r="FU295" s="64"/>
      <c r="FV295" s="64"/>
      <c r="FW295" s="64"/>
      <c r="FX295" s="64"/>
      <c r="FY295" s="64"/>
      <c r="FZ295" s="64"/>
      <c r="GA295" s="64"/>
      <c r="GB295" s="64"/>
      <c r="GC295" s="64"/>
      <c r="GD295" s="64"/>
      <c r="GE295" s="64"/>
      <c r="GF295" s="64"/>
      <c r="GG295" s="64"/>
      <c r="GH295" s="64"/>
      <c r="GI295" s="64"/>
      <c r="GJ295" s="64"/>
      <c r="GK295" s="64"/>
      <c r="GL295" s="64"/>
      <c r="GM295" s="64"/>
      <c r="GN295" s="64"/>
      <c r="GO295" s="64"/>
      <c r="GP295" s="64"/>
      <c r="GQ295" s="64"/>
      <c r="GR295" s="64"/>
      <c r="GS295" s="64"/>
      <c r="GT295" s="64"/>
      <c r="GU295" s="64"/>
      <c r="GV295" s="64"/>
      <c r="GW295" s="64"/>
      <c r="GX295" s="64"/>
      <c r="GY295" s="64"/>
      <c r="GZ295" s="64"/>
      <c r="HA295" s="64"/>
      <c r="HB295" s="64"/>
      <c r="HC295" s="64"/>
      <c r="HD295" s="64"/>
      <c r="HE295" s="64"/>
      <c r="HF295" s="64"/>
      <c r="HG295" s="64"/>
      <c r="HH295" s="64"/>
      <c r="HI295" s="64"/>
      <c r="HJ295" s="64"/>
      <c r="HK295" s="64"/>
      <c r="HL295" s="64"/>
      <c r="HM295" s="64"/>
      <c r="HN295" s="64"/>
      <c r="HO295" s="64"/>
      <c r="HP295" s="64"/>
      <c r="HQ295" s="64"/>
      <c r="HR295" s="64"/>
      <c r="HS295" s="64"/>
      <c r="HT295" s="64"/>
      <c r="HU295" s="64"/>
      <c r="HV295" s="64"/>
      <c r="HW295" s="64"/>
      <c r="HX295" s="64"/>
      <c r="HY295" s="64"/>
      <c r="HZ295" s="64"/>
      <c r="IA295" s="64"/>
      <c r="IB295" s="64"/>
      <c r="IC295" s="64"/>
      <c r="ID295" s="64"/>
      <c r="IE295" s="64"/>
      <c r="IF295" s="64"/>
      <c r="IG295" s="64"/>
      <c r="IH295" s="64"/>
      <c r="II295" s="64"/>
      <c r="IJ295" s="64"/>
      <c r="IK295" s="64"/>
      <c r="IL295" s="64"/>
      <c r="IM295" s="64"/>
      <c r="IN295" s="64"/>
      <c r="IO295" s="64"/>
      <c r="IP295" s="64"/>
      <c r="IQ295" s="64"/>
      <c r="IR295" s="64"/>
      <c r="IS295" s="64"/>
      <c r="IT295" s="64"/>
      <c r="IU295" s="64"/>
      <c r="IV295" s="64"/>
      <c r="IW295" s="64"/>
      <c r="IX295" s="64"/>
      <c r="IY295" s="64"/>
      <c r="IZ295" s="64"/>
      <c r="JA295" s="64"/>
      <c r="JB295" s="64"/>
      <c r="JC295" s="64"/>
      <c r="JD295" s="64"/>
      <c r="JE295" s="64"/>
      <c r="JF295" s="64"/>
      <c r="JG295" s="64"/>
      <c r="JH295" s="64"/>
      <c r="JI295" s="64"/>
    </row>
    <row r="296" spans="1:269" s="920" customFormat="1" x14ac:dyDescent="0.2">
      <c r="A296" s="116"/>
      <c r="B296" s="64"/>
      <c r="C296" s="64"/>
      <c r="D296" s="64"/>
      <c r="E296" s="64"/>
      <c r="F296" s="64"/>
      <c r="G296" s="64"/>
      <c r="H296" s="64"/>
      <c r="I296" s="64"/>
      <c r="J296" s="116"/>
      <c r="K296" s="116"/>
      <c r="L296" s="116"/>
      <c r="M296" s="116"/>
      <c r="N296" s="116"/>
      <c r="O296" s="116"/>
      <c r="P296" s="116"/>
      <c r="Q296" s="102"/>
      <c r="R296" s="102"/>
      <c r="S296" s="102"/>
      <c r="T296" s="102"/>
      <c r="U296" s="913"/>
      <c r="V296" s="114"/>
      <c r="W296" s="805"/>
      <c r="X296" s="805"/>
      <c r="Y296" s="805"/>
      <c r="Z296" s="914"/>
      <c r="AA296" s="102"/>
      <c r="AB296" s="102"/>
      <c r="AC296" s="102"/>
      <c r="AD296" s="102"/>
      <c r="AE296" s="102"/>
      <c r="AF296" s="102"/>
      <c r="AG296" s="102"/>
      <c r="AH296" s="102"/>
      <c r="AI296" s="102"/>
      <c r="AJ296" s="906"/>
      <c r="AK296" s="102"/>
      <c r="AL296" s="915"/>
      <c r="AM296" s="915"/>
      <c r="AN296" s="114"/>
      <c r="AO296" s="64"/>
      <c r="AP296" s="64"/>
      <c r="AQ296" s="64"/>
      <c r="AR296" s="916"/>
      <c r="AS296" s="916"/>
      <c r="AT296" s="916"/>
      <c r="AU296" s="917"/>
      <c r="AV296" s="917"/>
      <c r="AW296" s="917"/>
      <c r="AX296" s="918"/>
      <c r="AY296" s="916"/>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917"/>
      <c r="CA296" s="917"/>
      <c r="CB296" s="64"/>
      <c r="CC296" s="919"/>
      <c r="CD296" s="919"/>
      <c r="CE296" s="64"/>
      <c r="CF296" s="528"/>
      <c r="CG296" s="529"/>
      <c r="CH296" s="64"/>
      <c r="CI296" s="64"/>
      <c r="CJ296" s="64"/>
      <c r="CK296" s="64"/>
      <c r="CL296" s="64"/>
      <c r="CM296" s="64"/>
      <c r="CN296" s="64"/>
      <c r="CO296" s="64"/>
      <c r="CP296" s="64"/>
      <c r="CQ296" s="64"/>
      <c r="CR296" s="64"/>
      <c r="CS296" s="64"/>
      <c r="CT296" s="64"/>
      <c r="CU296" s="64"/>
      <c r="CV296" s="64"/>
      <c r="CW296" s="64"/>
      <c r="CX296" s="64"/>
      <c r="CY296" s="1011"/>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c r="FC296" s="64"/>
      <c r="FD296" s="64"/>
      <c r="FE296" s="64"/>
      <c r="FF296" s="64"/>
      <c r="FG296" s="64"/>
      <c r="FH296" s="64"/>
      <c r="FI296" s="64"/>
      <c r="FJ296" s="64"/>
      <c r="FK296" s="64"/>
      <c r="FL296" s="64"/>
      <c r="FM296" s="64"/>
      <c r="FN296" s="64"/>
      <c r="FO296" s="64"/>
      <c r="FP296" s="64"/>
      <c r="FQ296" s="64"/>
      <c r="FR296" s="64"/>
      <c r="FS296" s="64"/>
      <c r="FT296" s="64"/>
      <c r="FU296" s="64"/>
      <c r="FV296" s="64"/>
      <c r="FW296" s="64"/>
      <c r="FX296" s="64"/>
      <c r="FY296" s="64"/>
      <c r="FZ296" s="64"/>
      <c r="GA296" s="64"/>
      <c r="GB296" s="64"/>
      <c r="GC296" s="64"/>
      <c r="GD296" s="64"/>
      <c r="GE296" s="64"/>
      <c r="GF296" s="64"/>
      <c r="GG296" s="64"/>
      <c r="GH296" s="64"/>
      <c r="GI296" s="64"/>
      <c r="GJ296" s="64"/>
      <c r="GK296" s="64"/>
      <c r="GL296" s="64"/>
      <c r="GM296" s="64"/>
      <c r="GN296" s="64"/>
      <c r="GO296" s="64"/>
      <c r="GP296" s="64"/>
      <c r="GQ296" s="64"/>
      <c r="GR296" s="64"/>
      <c r="GS296" s="64"/>
      <c r="GT296" s="64"/>
      <c r="GU296" s="64"/>
      <c r="GV296" s="64"/>
      <c r="GW296" s="64"/>
      <c r="GX296" s="64"/>
      <c r="GY296" s="64"/>
      <c r="GZ296" s="64"/>
      <c r="HA296" s="64"/>
      <c r="HB296" s="64"/>
      <c r="HC296" s="64"/>
      <c r="HD296" s="64"/>
      <c r="HE296" s="64"/>
      <c r="HF296" s="64"/>
      <c r="HG296" s="64"/>
      <c r="HH296" s="64"/>
      <c r="HI296" s="64"/>
      <c r="HJ296" s="64"/>
      <c r="HK296" s="64"/>
      <c r="HL296" s="64"/>
      <c r="HM296" s="64"/>
      <c r="HN296" s="64"/>
      <c r="HO296" s="64"/>
      <c r="HP296" s="64"/>
      <c r="HQ296" s="64"/>
      <c r="HR296" s="64"/>
      <c r="HS296" s="64"/>
      <c r="HT296" s="64"/>
      <c r="HU296" s="64"/>
      <c r="HV296" s="64"/>
      <c r="HW296" s="64"/>
      <c r="HX296" s="64"/>
      <c r="HY296" s="64"/>
      <c r="HZ296" s="64"/>
      <c r="IA296" s="64"/>
      <c r="IB296" s="64"/>
      <c r="IC296" s="64"/>
      <c r="ID296" s="64"/>
      <c r="IE296" s="64"/>
      <c r="IF296" s="64"/>
      <c r="IG296" s="64"/>
      <c r="IH296" s="64"/>
      <c r="II296" s="64"/>
      <c r="IJ296" s="64"/>
      <c r="IK296" s="64"/>
      <c r="IL296" s="64"/>
      <c r="IM296" s="64"/>
      <c r="IN296" s="64"/>
      <c r="IO296" s="64"/>
      <c r="IP296" s="64"/>
      <c r="IQ296" s="64"/>
      <c r="IR296" s="64"/>
      <c r="IS296" s="64"/>
      <c r="IT296" s="64"/>
      <c r="IU296" s="64"/>
      <c r="IV296" s="64"/>
      <c r="IW296" s="64"/>
      <c r="IX296" s="64"/>
      <c r="IY296" s="64"/>
      <c r="IZ296" s="64"/>
      <c r="JA296" s="64"/>
      <c r="JB296" s="64"/>
      <c r="JC296" s="64"/>
      <c r="JD296" s="64"/>
      <c r="JE296" s="64"/>
      <c r="JF296" s="64"/>
      <c r="JG296" s="64"/>
      <c r="JH296" s="64"/>
      <c r="JI296" s="64"/>
    </row>
    <row r="297" spans="1:269" s="920" customFormat="1" x14ac:dyDescent="0.2">
      <c r="A297" s="116"/>
      <c r="B297" s="64"/>
      <c r="C297" s="64"/>
      <c r="D297" s="64"/>
      <c r="E297" s="64"/>
      <c r="F297" s="64"/>
      <c r="G297" s="64"/>
      <c r="H297" s="64"/>
      <c r="I297" s="64"/>
      <c r="J297" s="116"/>
      <c r="K297" s="116"/>
      <c r="L297" s="116"/>
      <c r="M297" s="116"/>
      <c r="N297" s="116"/>
      <c r="O297" s="116"/>
      <c r="P297" s="116"/>
      <c r="Q297" s="102"/>
      <c r="R297" s="102"/>
      <c r="S297" s="102"/>
      <c r="T297" s="102"/>
      <c r="U297" s="913"/>
      <c r="V297" s="114"/>
      <c r="W297" s="805"/>
      <c r="X297" s="805"/>
      <c r="Y297" s="805"/>
      <c r="Z297" s="914"/>
      <c r="AA297" s="102"/>
      <c r="AB297" s="102"/>
      <c r="AC297" s="102"/>
      <c r="AD297" s="102"/>
      <c r="AE297" s="102"/>
      <c r="AF297" s="102"/>
      <c r="AG297" s="102"/>
      <c r="AH297" s="102"/>
      <c r="AI297" s="102"/>
      <c r="AJ297" s="906"/>
      <c r="AK297" s="102"/>
      <c r="AL297" s="915"/>
      <c r="AM297" s="915"/>
      <c r="AN297" s="114"/>
      <c r="AO297" s="64"/>
      <c r="AP297" s="64"/>
      <c r="AQ297" s="64"/>
      <c r="AR297" s="916"/>
      <c r="AS297" s="916"/>
      <c r="AT297" s="916"/>
      <c r="AU297" s="917"/>
      <c r="AV297" s="917"/>
      <c r="AW297" s="917"/>
      <c r="AX297" s="918"/>
      <c r="AY297" s="916"/>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917"/>
      <c r="CA297" s="917"/>
      <c r="CB297" s="64"/>
      <c r="CC297" s="919"/>
      <c r="CD297" s="919"/>
      <c r="CE297" s="64"/>
      <c r="CF297" s="528"/>
      <c r="CG297" s="529"/>
      <c r="CH297" s="64"/>
      <c r="CI297" s="64"/>
      <c r="CJ297" s="64"/>
      <c r="CK297" s="64"/>
      <c r="CL297" s="64"/>
      <c r="CM297" s="64"/>
      <c r="CN297" s="64"/>
      <c r="CO297" s="64"/>
      <c r="CP297" s="64"/>
      <c r="CQ297" s="64"/>
      <c r="CR297" s="64"/>
      <c r="CS297" s="64"/>
      <c r="CT297" s="64"/>
      <c r="CU297" s="64"/>
      <c r="CV297" s="64"/>
      <c r="CW297" s="64"/>
      <c r="CX297" s="64"/>
      <c r="CY297" s="1011"/>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c r="FC297" s="64"/>
      <c r="FD297" s="64"/>
      <c r="FE297" s="64"/>
      <c r="FF297" s="64"/>
      <c r="FG297" s="64"/>
      <c r="FH297" s="64"/>
      <c r="FI297" s="64"/>
      <c r="FJ297" s="64"/>
      <c r="FK297" s="64"/>
      <c r="FL297" s="64"/>
      <c r="FM297" s="64"/>
      <c r="FN297" s="64"/>
      <c r="FO297" s="64"/>
      <c r="FP297" s="64"/>
      <c r="FQ297" s="64"/>
      <c r="FR297" s="64"/>
      <c r="FS297" s="64"/>
      <c r="FT297" s="64"/>
      <c r="FU297" s="64"/>
      <c r="FV297" s="64"/>
      <c r="FW297" s="64"/>
      <c r="FX297" s="64"/>
      <c r="FY297" s="64"/>
      <c r="FZ297" s="64"/>
      <c r="GA297" s="64"/>
      <c r="GB297" s="64"/>
      <c r="GC297" s="64"/>
      <c r="GD297" s="64"/>
      <c r="GE297" s="64"/>
      <c r="GF297" s="64"/>
      <c r="GG297" s="64"/>
      <c r="GH297" s="64"/>
      <c r="GI297" s="64"/>
      <c r="GJ297" s="64"/>
      <c r="GK297" s="64"/>
      <c r="GL297" s="64"/>
      <c r="GM297" s="64"/>
      <c r="GN297" s="64"/>
      <c r="GO297" s="64"/>
      <c r="GP297" s="64"/>
      <c r="GQ297" s="64"/>
      <c r="GR297" s="64"/>
      <c r="GS297" s="64"/>
      <c r="GT297" s="64"/>
      <c r="GU297" s="64"/>
      <c r="GV297" s="64"/>
      <c r="GW297" s="64"/>
      <c r="GX297" s="64"/>
      <c r="GY297" s="64"/>
      <c r="GZ297" s="64"/>
      <c r="HA297" s="64"/>
      <c r="HB297" s="64"/>
      <c r="HC297" s="64"/>
      <c r="HD297" s="64"/>
      <c r="HE297" s="64"/>
      <c r="HF297" s="64"/>
      <c r="HG297" s="64"/>
      <c r="HH297" s="64"/>
      <c r="HI297" s="64"/>
      <c r="HJ297" s="64"/>
      <c r="HK297" s="64"/>
      <c r="HL297" s="64"/>
      <c r="HM297" s="64"/>
      <c r="HN297" s="64"/>
      <c r="HO297" s="64"/>
      <c r="HP297" s="64"/>
      <c r="HQ297" s="64"/>
      <c r="HR297" s="64"/>
      <c r="HS297" s="64"/>
      <c r="HT297" s="64"/>
      <c r="HU297" s="64"/>
      <c r="HV297" s="64"/>
      <c r="HW297" s="64"/>
      <c r="HX297" s="64"/>
      <c r="HY297" s="64"/>
      <c r="HZ297" s="64"/>
      <c r="IA297" s="64"/>
      <c r="IB297" s="64"/>
      <c r="IC297" s="64"/>
      <c r="ID297" s="64"/>
      <c r="IE297" s="64"/>
      <c r="IF297" s="64"/>
      <c r="IG297" s="64"/>
      <c r="IH297" s="64"/>
      <c r="II297" s="64"/>
      <c r="IJ297" s="64"/>
      <c r="IK297" s="64"/>
      <c r="IL297" s="64"/>
      <c r="IM297" s="64"/>
      <c r="IN297" s="64"/>
      <c r="IO297" s="64"/>
      <c r="IP297" s="64"/>
      <c r="IQ297" s="64"/>
      <c r="IR297" s="64"/>
      <c r="IS297" s="64"/>
      <c r="IT297" s="64"/>
      <c r="IU297" s="64"/>
      <c r="IV297" s="64"/>
      <c r="IW297" s="64"/>
      <c r="IX297" s="64"/>
      <c r="IY297" s="64"/>
      <c r="IZ297" s="64"/>
      <c r="JA297" s="64"/>
      <c r="JB297" s="64"/>
      <c r="JC297" s="64"/>
      <c r="JD297" s="64"/>
      <c r="JE297" s="64"/>
      <c r="JF297" s="64"/>
      <c r="JG297" s="64"/>
      <c r="JH297" s="64"/>
      <c r="JI297" s="64"/>
    </row>
    <row r="298" spans="1:269" s="920" customFormat="1" x14ac:dyDescent="0.2">
      <c r="A298" s="116"/>
      <c r="B298" s="64"/>
      <c r="C298" s="64"/>
      <c r="D298" s="64"/>
      <c r="E298" s="64"/>
      <c r="F298" s="64"/>
      <c r="G298" s="64"/>
      <c r="H298" s="64"/>
      <c r="I298" s="64"/>
      <c r="J298" s="116"/>
      <c r="K298" s="116"/>
      <c r="L298" s="116"/>
      <c r="M298" s="116"/>
      <c r="N298" s="116"/>
      <c r="O298" s="116"/>
      <c r="P298" s="116"/>
      <c r="Q298" s="102"/>
      <c r="R298" s="102"/>
      <c r="S298" s="102"/>
      <c r="T298" s="102"/>
      <c r="U298" s="913"/>
      <c r="V298" s="114"/>
      <c r="W298" s="805"/>
      <c r="X298" s="805"/>
      <c r="Y298" s="805"/>
      <c r="Z298" s="914"/>
      <c r="AA298" s="102"/>
      <c r="AB298" s="102"/>
      <c r="AC298" s="102"/>
      <c r="AD298" s="102"/>
      <c r="AE298" s="102"/>
      <c r="AF298" s="102"/>
      <c r="AG298" s="102"/>
      <c r="AH298" s="102"/>
      <c r="AI298" s="102"/>
      <c r="AJ298" s="906"/>
      <c r="AK298" s="102"/>
      <c r="AL298" s="915"/>
      <c r="AM298" s="915"/>
      <c r="AN298" s="114"/>
      <c r="AO298" s="64"/>
      <c r="AP298" s="64"/>
      <c r="AQ298" s="64"/>
      <c r="AR298" s="916"/>
      <c r="AS298" s="916"/>
      <c r="AT298" s="916"/>
      <c r="AU298" s="917"/>
      <c r="AV298" s="917"/>
      <c r="AW298" s="917"/>
      <c r="AX298" s="918"/>
      <c r="AY298" s="916"/>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917"/>
      <c r="CA298" s="917"/>
      <c r="CB298" s="64"/>
      <c r="CC298" s="919"/>
      <c r="CD298" s="919"/>
      <c r="CE298" s="64"/>
      <c r="CF298" s="528"/>
      <c r="CG298" s="529"/>
      <c r="CH298" s="64"/>
      <c r="CI298" s="64"/>
      <c r="CJ298" s="64"/>
      <c r="CK298" s="64"/>
      <c r="CL298" s="64"/>
      <c r="CM298" s="64"/>
      <c r="CN298" s="64"/>
      <c r="CO298" s="64"/>
      <c r="CP298" s="64"/>
      <c r="CQ298" s="64"/>
      <c r="CR298" s="64"/>
      <c r="CS298" s="64"/>
      <c r="CT298" s="64"/>
      <c r="CU298" s="64"/>
      <c r="CV298" s="64"/>
      <c r="CW298" s="64"/>
      <c r="CX298" s="64"/>
      <c r="CY298" s="1011"/>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c r="FC298" s="64"/>
      <c r="FD298" s="64"/>
      <c r="FE298" s="64"/>
      <c r="FF298" s="64"/>
      <c r="FG298" s="64"/>
      <c r="FH298" s="64"/>
      <c r="FI298" s="64"/>
      <c r="FJ298" s="64"/>
      <c r="FK298" s="64"/>
      <c r="FL298" s="64"/>
      <c r="FM298" s="64"/>
      <c r="FN298" s="64"/>
      <c r="FO298" s="64"/>
      <c r="FP298" s="64"/>
      <c r="FQ298" s="64"/>
      <c r="FR298" s="64"/>
      <c r="FS298" s="64"/>
      <c r="FT298" s="64"/>
      <c r="FU298" s="64"/>
      <c r="FV298" s="64"/>
      <c r="FW298" s="64"/>
      <c r="FX298" s="64"/>
      <c r="FY298" s="64"/>
      <c r="FZ298" s="64"/>
      <c r="GA298" s="64"/>
      <c r="GB298" s="64"/>
      <c r="GC298" s="64"/>
      <c r="GD298" s="64"/>
      <c r="GE298" s="64"/>
      <c r="GF298" s="64"/>
      <c r="GG298" s="64"/>
      <c r="GH298" s="64"/>
      <c r="GI298" s="64"/>
      <c r="GJ298" s="64"/>
      <c r="GK298" s="64"/>
      <c r="GL298" s="64"/>
      <c r="GM298" s="64"/>
      <c r="GN298" s="64"/>
      <c r="GO298" s="64"/>
      <c r="GP298" s="64"/>
      <c r="GQ298" s="64"/>
      <c r="GR298" s="64"/>
      <c r="GS298" s="64"/>
      <c r="GT298" s="64"/>
      <c r="GU298" s="64"/>
      <c r="GV298" s="64"/>
      <c r="GW298" s="64"/>
      <c r="GX298" s="64"/>
      <c r="GY298" s="64"/>
      <c r="GZ298" s="64"/>
      <c r="HA298" s="64"/>
      <c r="HB298" s="64"/>
      <c r="HC298" s="64"/>
      <c r="HD298" s="64"/>
      <c r="HE298" s="64"/>
      <c r="HF298" s="64"/>
      <c r="HG298" s="64"/>
      <c r="HH298" s="64"/>
      <c r="HI298" s="64"/>
      <c r="HJ298" s="64"/>
      <c r="HK298" s="64"/>
      <c r="HL298" s="64"/>
      <c r="HM298" s="64"/>
      <c r="HN298" s="64"/>
      <c r="HO298" s="64"/>
      <c r="HP298" s="64"/>
      <c r="HQ298" s="64"/>
      <c r="HR298" s="64"/>
      <c r="HS298" s="64"/>
      <c r="HT298" s="64"/>
      <c r="HU298" s="64"/>
      <c r="HV298" s="64"/>
      <c r="HW298" s="64"/>
      <c r="HX298" s="64"/>
      <c r="HY298" s="64"/>
      <c r="HZ298" s="64"/>
      <c r="IA298" s="64"/>
      <c r="IB298" s="64"/>
      <c r="IC298" s="64"/>
      <c r="ID298" s="64"/>
      <c r="IE298" s="64"/>
      <c r="IF298" s="64"/>
      <c r="IG298" s="64"/>
      <c r="IH298" s="64"/>
      <c r="II298" s="64"/>
      <c r="IJ298" s="64"/>
      <c r="IK298" s="64"/>
      <c r="IL298" s="64"/>
      <c r="IM298" s="64"/>
      <c r="IN298" s="64"/>
      <c r="IO298" s="64"/>
      <c r="IP298" s="64"/>
      <c r="IQ298" s="64"/>
      <c r="IR298" s="64"/>
      <c r="IS298" s="64"/>
      <c r="IT298" s="64"/>
      <c r="IU298" s="64"/>
      <c r="IV298" s="64"/>
      <c r="IW298" s="64"/>
      <c r="IX298" s="64"/>
      <c r="IY298" s="64"/>
      <c r="IZ298" s="64"/>
      <c r="JA298" s="64"/>
      <c r="JB298" s="64"/>
      <c r="JC298" s="64"/>
      <c r="JD298" s="64"/>
      <c r="JE298" s="64"/>
      <c r="JF298" s="64"/>
      <c r="JG298" s="64"/>
      <c r="JH298" s="64"/>
      <c r="JI298" s="64"/>
    </row>
    <row r="299" spans="1:269" s="920" customFormat="1" x14ac:dyDescent="0.2">
      <c r="A299" s="116"/>
      <c r="B299" s="64"/>
      <c r="C299" s="64"/>
      <c r="D299" s="64"/>
      <c r="E299" s="64"/>
      <c r="F299" s="64"/>
      <c r="G299" s="64"/>
      <c r="H299" s="64"/>
      <c r="I299" s="64"/>
      <c r="J299" s="116"/>
      <c r="K299" s="116"/>
      <c r="L299" s="116"/>
      <c r="M299" s="116"/>
      <c r="N299" s="116"/>
      <c r="O299" s="116"/>
      <c r="P299" s="116"/>
      <c r="Q299" s="102"/>
      <c r="R299" s="102"/>
      <c r="S299" s="102"/>
      <c r="T299" s="102"/>
      <c r="U299" s="913"/>
      <c r="V299" s="114"/>
      <c r="W299" s="805"/>
      <c r="X299" s="805"/>
      <c r="Y299" s="805"/>
      <c r="Z299" s="914"/>
      <c r="AA299" s="102"/>
      <c r="AB299" s="102"/>
      <c r="AC299" s="102"/>
      <c r="AD299" s="102"/>
      <c r="AE299" s="102"/>
      <c r="AF299" s="102"/>
      <c r="AG299" s="102"/>
      <c r="AH299" s="102"/>
      <c r="AI299" s="102"/>
      <c r="AJ299" s="906"/>
      <c r="AK299" s="102"/>
      <c r="AL299" s="915"/>
      <c r="AM299" s="915"/>
      <c r="AN299" s="114"/>
      <c r="AO299" s="64"/>
      <c r="AP299" s="64"/>
      <c r="AQ299" s="64"/>
      <c r="AR299" s="916"/>
      <c r="AS299" s="916"/>
      <c r="AT299" s="916"/>
      <c r="AU299" s="917"/>
      <c r="AV299" s="917"/>
      <c r="AW299" s="917"/>
      <c r="AX299" s="918"/>
      <c r="AY299" s="916"/>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917"/>
      <c r="CA299" s="917"/>
      <c r="CB299" s="64"/>
      <c r="CC299" s="919"/>
      <c r="CD299" s="919"/>
      <c r="CE299" s="64"/>
      <c r="CF299" s="528"/>
      <c r="CG299" s="529"/>
      <c r="CH299" s="64"/>
      <c r="CI299" s="64"/>
      <c r="CJ299" s="64"/>
      <c r="CK299" s="64"/>
      <c r="CL299" s="64"/>
      <c r="CM299" s="64"/>
      <c r="CN299" s="64"/>
      <c r="CO299" s="64"/>
      <c r="CP299" s="64"/>
      <c r="CQ299" s="64"/>
      <c r="CR299" s="64"/>
      <c r="CS299" s="64"/>
      <c r="CT299" s="64"/>
      <c r="CU299" s="64"/>
      <c r="CV299" s="64"/>
      <c r="CW299" s="64"/>
      <c r="CX299" s="64"/>
      <c r="CY299" s="1011"/>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c r="FC299" s="64"/>
      <c r="FD299" s="64"/>
      <c r="FE299" s="64"/>
      <c r="FF299" s="64"/>
      <c r="FG299" s="64"/>
      <c r="FH299" s="64"/>
      <c r="FI299" s="64"/>
      <c r="FJ299" s="64"/>
      <c r="FK299" s="64"/>
      <c r="FL299" s="64"/>
      <c r="FM299" s="64"/>
      <c r="FN299" s="64"/>
      <c r="FO299" s="64"/>
      <c r="FP299" s="64"/>
      <c r="FQ299" s="64"/>
      <c r="FR299" s="64"/>
      <c r="FS299" s="64"/>
      <c r="FT299" s="64"/>
      <c r="FU299" s="64"/>
      <c r="FV299" s="64"/>
      <c r="FW299" s="64"/>
      <c r="FX299" s="64"/>
      <c r="FY299" s="64"/>
      <c r="FZ299" s="64"/>
      <c r="GA299" s="64"/>
      <c r="GB299" s="64"/>
      <c r="GC299" s="64"/>
      <c r="GD299" s="64"/>
      <c r="GE299" s="64"/>
      <c r="GF299" s="64"/>
      <c r="GG299" s="64"/>
      <c r="GH299" s="64"/>
      <c r="GI299" s="64"/>
      <c r="GJ299" s="64"/>
      <c r="GK299" s="64"/>
      <c r="GL299" s="64"/>
      <c r="GM299" s="64"/>
      <c r="GN299" s="64"/>
      <c r="GO299" s="64"/>
      <c r="GP299" s="64"/>
      <c r="GQ299" s="64"/>
      <c r="GR299" s="64"/>
      <c r="GS299" s="64"/>
      <c r="GT299" s="64"/>
      <c r="GU299" s="64"/>
      <c r="GV299" s="64"/>
      <c r="GW299" s="64"/>
      <c r="GX299" s="64"/>
      <c r="GY299" s="64"/>
      <c r="GZ299" s="64"/>
      <c r="HA299" s="64"/>
      <c r="HB299" s="64"/>
      <c r="HC299" s="64"/>
      <c r="HD299" s="64"/>
      <c r="HE299" s="64"/>
      <c r="HF299" s="64"/>
      <c r="HG299" s="64"/>
      <c r="HH299" s="64"/>
      <c r="HI299" s="64"/>
      <c r="HJ299" s="64"/>
      <c r="HK299" s="64"/>
      <c r="HL299" s="64"/>
      <c r="HM299" s="64"/>
      <c r="HN299" s="64"/>
      <c r="HO299" s="64"/>
      <c r="HP299" s="64"/>
      <c r="HQ299" s="64"/>
      <c r="HR299" s="64"/>
      <c r="HS299" s="64"/>
      <c r="HT299" s="64"/>
      <c r="HU299" s="64"/>
      <c r="HV299" s="64"/>
      <c r="HW299" s="64"/>
      <c r="HX299" s="64"/>
      <c r="HY299" s="64"/>
      <c r="HZ299" s="64"/>
      <c r="IA299" s="64"/>
      <c r="IB299" s="64"/>
      <c r="IC299" s="64"/>
      <c r="ID299" s="64"/>
      <c r="IE299" s="64"/>
      <c r="IF299" s="64"/>
      <c r="IG299" s="64"/>
      <c r="IH299" s="64"/>
      <c r="II299" s="64"/>
      <c r="IJ299" s="64"/>
      <c r="IK299" s="64"/>
      <c r="IL299" s="64"/>
      <c r="IM299" s="64"/>
      <c r="IN299" s="64"/>
      <c r="IO299" s="64"/>
      <c r="IP299" s="64"/>
      <c r="IQ299" s="64"/>
      <c r="IR299" s="64"/>
      <c r="IS299" s="64"/>
      <c r="IT299" s="64"/>
      <c r="IU299" s="64"/>
      <c r="IV299" s="64"/>
      <c r="IW299" s="64"/>
      <c r="IX299" s="64"/>
      <c r="IY299" s="64"/>
      <c r="IZ299" s="64"/>
      <c r="JA299" s="64"/>
      <c r="JB299" s="64"/>
      <c r="JC299" s="64"/>
      <c r="JD299" s="64"/>
      <c r="JE299" s="64"/>
      <c r="JF299" s="64"/>
      <c r="JG299" s="64"/>
      <c r="JH299" s="64"/>
      <c r="JI299" s="64"/>
    </row>
    <row r="300" spans="1:269" s="920" customFormat="1" x14ac:dyDescent="0.2">
      <c r="A300" s="116"/>
      <c r="B300" s="64"/>
      <c r="C300" s="64"/>
      <c r="D300" s="64"/>
      <c r="E300" s="64"/>
      <c r="F300" s="64"/>
      <c r="G300" s="64"/>
      <c r="H300" s="64"/>
      <c r="I300" s="64"/>
      <c r="J300" s="116"/>
      <c r="K300" s="116"/>
      <c r="L300" s="116"/>
      <c r="M300" s="116"/>
      <c r="N300" s="116"/>
      <c r="O300" s="116"/>
      <c r="P300" s="116"/>
      <c r="Q300" s="102"/>
      <c r="R300" s="102"/>
      <c r="S300" s="102"/>
      <c r="T300" s="102"/>
      <c r="U300" s="913"/>
      <c r="V300" s="114"/>
      <c r="W300" s="805"/>
      <c r="X300" s="805"/>
      <c r="Y300" s="805"/>
      <c r="Z300" s="914"/>
      <c r="AA300" s="102"/>
      <c r="AB300" s="102"/>
      <c r="AC300" s="102"/>
      <c r="AD300" s="102"/>
      <c r="AE300" s="102"/>
      <c r="AF300" s="102"/>
      <c r="AG300" s="102"/>
      <c r="AH300" s="102"/>
      <c r="AI300" s="102"/>
      <c r="AJ300" s="906"/>
      <c r="AK300" s="102"/>
      <c r="AL300" s="915"/>
      <c r="AM300" s="915"/>
      <c r="AN300" s="114"/>
      <c r="AO300" s="64"/>
      <c r="AP300" s="64"/>
      <c r="AQ300" s="64"/>
      <c r="AR300" s="916"/>
      <c r="AS300" s="916"/>
      <c r="AT300" s="916"/>
      <c r="AU300" s="917"/>
      <c r="AV300" s="917"/>
      <c r="AW300" s="917"/>
      <c r="AX300" s="918"/>
      <c r="AY300" s="916"/>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917"/>
      <c r="CA300" s="917"/>
      <c r="CB300" s="64"/>
      <c r="CC300" s="919"/>
      <c r="CD300" s="919"/>
      <c r="CE300" s="64"/>
      <c r="CF300" s="528"/>
      <c r="CG300" s="529"/>
      <c r="CH300" s="64"/>
      <c r="CI300" s="64"/>
      <c r="CJ300" s="64"/>
      <c r="CK300" s="64"/>
      <c r="CL300" s="64"/>
      <c r="CM300" s="64"/>
      <c r="CN300" s="64"/>
      <c r="CO300" s="64"/>
      <c r="CP300" s="64"/>
      <c r="CQ300" s="64"/>
      <c r="CR300" s="64"/>
      <c r="CS300" s="64"/>
      <c r="CT300" s="64"/>
      <c r="CU300" s="64"/>
      <c r="CV300" s="64"/>
      <c r="CW300" s="64"/>
      <c r="CX300" s="64"/>
      <c r="CY300" s="1011"/>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c r="FC300" s="64"/>
      <c r="FD300" s="64"/>
      <c r="FE300" s="64"/>
      <c r="FF300" s="64"/>
      <c r="FG300" s="64"/>
      <c r="FH300" s="64"/>
      <c r="FI300" s="64"/>
      <c r="FJ300" s="64"/>
      <c r="FK300" s="64"/>
      <c r="FL300" s="64"/>
      <c r="FM300" s="64"/>
      <c r="FN300" s="64"/>
      <c r="FO300" s="64"/>
      <c r="FP300" s="64"/>
      <c r="FQ300" s="64"/>
      <c r="FR300" s="64"/>
      <c r="FS300" s="64"/>
      <c r="FT300" s="64"/>
      <c r="FU300" s="64"/>
      <c r="FV300" s="64"/>
      <c r="FW300" s="64"/>
      <c r="FX300" s="64"/>
      <c r="FY300" s="64"/>
      <c r="FZ300" s="64"/>
      <c r="GA300" s="64"/>
      <c r="GB300" s="64"/>
      <c r="GC300" s="64"/>
      <c r="GD300" s="64"/>
      <c r="GE300" s="64"/>
      <c r="GF300" s="64"/>
      <c r="GG300" s="64"/>
      <c r="GH300" s="64"/>
      <c r="GI300" s="64"/>
      <c r="GJ300" s="64"/>
      <c r="GK300" s="64"/>
      <c r="GL300" s="64"/>
      <c r="GM300" s="64"/>
      <c r="GN300" s="64"/>
      <c r="GO300" s="64"/>
      <c r="GP300" s="64"/>
      <c r="GQ300" s="64"/>
      <c r="GR300" s="64"/>
      <c r="GS300" s="64"/>
      <c r="GT300" s="64"/>
      <c r="GU300" s="64"/>
      <c r="GV300" s="64"/>
      <c r="GW300" s="64"/>
      <c r="GX300" s="64"/>
      <c r="GY300" s="64"/>
      <c r="GZ300" s="64"/>
      <c r="HA300" s="64"/>
      <c r="HB300" s="64"/>
      <c r="HC300" s="64"/>
      <c r="HD300" s="64"/>
      <c r="HE300" s="64"/>
      <c r="HF300" s="64"/>
      <c r="HG300" s="64"/>
      <c r="HH300" s="64"/>
      <c r="HI300" s="64"/>
      <c r="HJ300" s="64"/>
      <c r="HK300" s="64"/>
      <c r="HL300" s="64"/>
      <c r="HM300" s="64"/>
      <c r="HN300" s="64"/>
      <c r="HO300" s="64"/>
      <c r="HP300" s="64"/>
      <c r="HQ300" s="64"/>
      <c r="HR300" s="64"/>
      <c r="HS300" s="64"/>
      <c r="HT300" s="64"/>
      <c r="HU300" s="64"/>
      <c r="HV300" s="64"/>
      <c r="HW300" s="64"/>
      <c r="HX300" s="64"/>
      <c r="HY300" s="64"/>
      <c r="HZ300" s="64"/>
      <c r="IA300" s="64"/>
      <c r="IB300" s="64"/>
      <c r="IC300" s="64"/>
      <c r="ID300" s="64"/>
      <c r="IE300" s="64"/>
      <c r="IF300" s="64"/>
      <c r="IG300" s="64"/>
      <c r="IH300" s="64"/>
      <c r="II300" s="64"/>
      <c r="IJ300" s="64"/>
      <c r="IK300" s="64"/>
      <c r="IL300" s="64"/>
      <c r="IM300" s="64"/>
      <c r="IN300" s="64"/>
      <c r="IO300" s="64"/>
      <c r="IP300" s="64"/>
      <c r="IQ300" s="64"/>
      <c r="IR300" s="64"/>
      <c r="IS300" s="64"/>
      <c r="IT300" s="64"/>
      <c r="IU300" s="64"/>
      <c r="IV300" s="64"/>
      <c r="IW300" s="64"/>
      <c r="IX300" s="64"/>
      <c r="IY300" s="64"/>
      <c r="IZ300" s="64"/>
      <c r="JA300" s="64"/>
      <c r="JB300" s="64"/>
      <c r="JC300" s="64"/>
      <c r="JD300" s="64"/>
      <c r="JE300" s="64"/>
      <c r="JF300" s="64"/>
      <c r="JG300" s="64"/>
      <c r="JH300" s="64"/>
      <c r="JI300" s="64"/>
    </row>
    <row r="301" spans="1:269" s="920" customFormat="1" x14ac:dyDescent="0.2">
      <c r="A301" s="116"/>
      <c r="B301" s="64"/>
      <c r="C301" s="64"/>
      <c r="D301" s="64"/>
      <c r="E301" s="64"/>
      <c r="F301" s="64"/>
      <c r="G301" s="64"/>
      <c r="H301" s="64"/>
      <c r="I301" s="64"/>
      <c r="J301" s="116"/>
      <c r="K301" s="116"/>
      <c r="L301" s="116"/>
      <c r="M301" s="116"/>
      <c r="N301" s="116"/>
      <c r="O301" s="116"/>
      <c r="P301" s="116"/>
      <c r="Q301" s="102"/>
      <c r="R301" s="102"/>
      <c r="S301" s="102"/>
      <c r="T301" s="102"/>
      <c r="U301" s="913"/>
      <c r="V301" s="114"/>
      <c r="W301" s="805"/>
      <c r="X301" s="805"/>
      <c r="Y301" s="805"/>
      <c r="Z301" s="914"/>
      <c r="AA301" s="102"/>
      <c r="AB301" s="102"/>
      <c r="AC301" s="102"/>
      <c r="AD301" s="102"/>
      <c r="AE301" s="102"/>
      <c r="AF301" s="102"/>
      <c r="AG301" s="102"/>
      <c r="AH301" s="102"/>
      <c r="AI301" s="102"/>
      <c r="AJ301" s="906"/>
      <c r="AK301" s="102"/>
      <c r="AL301" s="915"/>
      <c r="AM301" s="915"/>
      <c r="AN301" s="114"/>
      <c r="AO301" s="64"/>
      <c r="AP301" s="64"/>
      <c r="AQ301" s="64"/>
      <c r="AR301" s="916"/>
      <c r="AS301" s="916"/>
      <c r="AT301" s="916"/>
      <c r="AU301" s="917"/>
      <c r="AV301" s="917"/>
      <c r="AW301" s="917"/>
      <c r="AX301" s="918"/>
      <c r="AY301" s="916"/>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917"/>
      <c r="CA301" s="917"/>
      <c r="CB301" s="64"/>
      <c r="CC301" s="919"/>
      <c r="CD301" s="919"/>
      <c r="CE301" s="64"/>
      <c r="CF301" s="528"/>
      <c r="CG301" s="529"/>
      <c r="CH301" s="64"/>
      <c r="CI301" s="64"/>
      <c r="CJ301" s="64"/>
      <c r="CK301" s="64"/>
      <c r="CL301" s="64"/>
      <c r="CM301" s="64"/>
      <c r="CN301" s="64"/>
      <c r="CO301" s="64"/>
      <c r="CP301" s="64"/>
      <c r="CQ301" s="64"/>
      <c r="CR301" s="64"/>
      <c r="CS301" s="64"/>
      <c r="CT301" s="64"/>
      <c r="CU301" s="64"/>
      <c r="CV301" s="64"/>
      <c r="CW301" s="64"/>
      <c r="CX301" s="64"/>
      <c r="CY301" s="1011"/>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c r="FC301" s="64"/>
      <c r="FD301" s="64"/>
      <c r="FE301" s="64"/>
      <c r="FF301" s="64"/>
      <c r="FG301" s="64"/>
      <c r="FH301" s="64"/>
      <c r="FI301" s="64"/>
      <c r="FJ301" s="64"/>
      <c r="FK301" s="64"/>
      <c r="FL301" s="64"/>
      <c r="FM301" s="64"/>
      <c r="FN301" s="64"/>
      <c r="FO301" s="64"/>
      <c r="FP301" s="64"/>
      <c r="FQ301" s="64"/>
      <c r="FR301" s="64"/>
      <c r="FS301" s="64"/>
      <c r="FT301" s="64"/>
      <c r="FU301" s="64"/>
      <c r="FV301" s="64"/>
      <c r="FW301" s="64"/>
      <c r="FX301" s="64"/>
      <c r="FY301" s="64"/>
      <c r="FZ301" s="64"/>
      <c r="GA301" s="64"/>
      <c r="GB301" s="64"/>
      <c r="GC301" s="64"/>
      <c r="GD301" s="64"/>
      <c r="GE301" s="64"/>
      <c r="GF301" s="64"/>
      <c r="GG301" s="64"/>
      <c r="GH301" s="64"/>
      <c r="GI301" s="64"/>
      <c r="GJ301" s="64"/>
      <c r="GK301" s="64"/>
      <c r="GL301" s="64"/>
      <c r="GM301" s="64"/>
      <c r="GN301" s="64"/>
      <c r="GO301" s="64"/>
      <c r="GP301" s="64"/>
      <c r="GQ301" s="64"/>
      <c r="GR301" s="64"/>
      <c r="GS301" s="64"/>
      <c r="GT301" s="64"/>
      <c r="GU301" s="64"/>
      <c r="GV301" s="64"/>
      <c r="GW301" s="64"/>
      <c r="GX301" s="64"/>
      <c r="GY301" s="64"/>
      <c r="GZ301" s="64"/>
      <c r="HA301" s="64"/>
      <c r="HB301" s="64"/>
      <c r="HC301" s="64"/>
      <c r="HD301" s="64"/>
      <c r="HE301" s="64"/>
      <c r="HF301" s="64"/>
      <c r="HG301" s="64"/>
      <c r="HH301" s="64"/>
      <c r="HI301" s="64"/>
      <c r="HJ301" s="64"/>
      <c r="HK301" s="64"/>
      <c r="HL301" s="64"/>
      <c r="HM301" s="64"/>
      <c r="HN301" s="64"/>
      <c r="HO301" s="64"/>
      <c r="HP301" s="64"/>
      <c r="HQ301" s="64"/>
      <c r="HR301" s="64"/>
      <c r="HS301" s="64"/>
      <c r="HT301" s="64"/>
      <c r="HU301" s="64"/>
      <c r="HV301" s="64"/>
      <c r="HW301" s="64"/>
      <c r="HX301" s="64"/>
      <c r="HY301" s="64"/>
      <c r="HZ301" s="64"/>
      <c r="IA301" s="64"/>
      <c r="IB301" s="64"/>
      <c r="IC301" s="64"/>
      <c r="ID301" s="64"/>
      <c r="IE301" s="64"/>
      <c r="IF301" s="64"/>
      <c r="IG301" s="64"/>
      <c r="IH301" s="64"/>
      <c r="II301" s="64"/>
      <c r="IJ301" s="64"/>
      <c r="IK301" s="64"/>
      <c r="IL301" s="64"/>
      <c r="IM301" s="64"/>
      <c r="IN301" s="64"/>
      <c r="IO301" s="64"/>
      <c r="IP301" s="64"/>
      <c r="IQ301" s="64"/>
      <c r="IR301" s="64"/>
      <c r="IS301" s="64"/>
      <c r="IT301" s="64"/>
      <c r="IU301" s="64"/>
      <c r="IV301" s="64"/>
      <c r="IW301" s="64"/>
      <c r="IX301" s="64"/>
      <c r="IY301" s="64"/>
      <c r="IZ301" s="64"/>
      <c r="JA301" s="64"/>
      <c r="JB301" s="64"/>
      <c r="JC301" s="64"/>
      <c r="JD301" s="64"/>
      <c r="JE301" s="64"/>
      <c r="JF301" s="64"/>
      <c r="JG301" s="64"/>
      <c r="JH301" s="64"/>
      <c r="JI301" s="64"/>
    </row>
    <row r="302" spans="1:269" s="920" customFormat="1" x14ac:dyDescent="0.2">
      <c r="A302" s="116"/>
      <c r="B302" s="64"/>
      <c r="C302" s="64"/>
      <c r="D302" s="64"/>
      <c r="E302" s="64"/>
      <c r="F302" s="64"/>
      <c r="G302" s="64"/>
      <c r="H302" s="64"/>
      <c r="I302" s="64"/>
      <c r="J302" s="116"/>
      <c r="K302" s="116"/>
      <c r="L302" s="116"/>
      <c r="M302" s="116"/>
      <c r="N302" s="116"/>
      <c r="O302" s="116"/>
      <c r="P302" s="116"/>
      <c r="Q302" s="102"/>
      <c r="R302" s="102"/>
      <c r="S302" s="102"/>
      <c r="T302" s="102"/>
      <c r="U302" s="913"/>
      <c r="V302" s="114"/>
      <c r="W302" s="805"/>
      <c r="X302" s="805"/>
      <c r="Y302" s="805"/>
      <c r="Z302" s="914"/>
      <c r="AA302" s="102"/>
      <c r="AB302" s="102"/>
      <c r="AC302" s="102"/>
      <c r="AD302" s="102"/>
      <c r="AE302" s="102"/>
      <c r="AF302" s="102"/>
      <c r="AG302" s="102"/>
      <c r="AH302" s="102"/>
      <c r="AI302" s="102"/>
      <c r="AJ302" s="906"/>
      <c r="AK302" s="102"/>
      <c r="AL302" s="915"/>
      <c r="AM302" s="915"/>
      <c r="AN302" s="114"/>
      <c r="AO302" s="64"/>
      <c r="AP302" s="64"/>
      <c r="AQ302" s="64"/>
      <c r="AR302" s="916"/>
      <c r="AS302" s="916"/>
      <c r="AT302" s="916"/>
      <c r="AU302" s="917"/>
      <c r="AV302" s="917"/>
      <c r="AW302" s="917"/>
      <c r="AX302" s="918"/>
      <c r="AY302" s="916"/>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917"/>
      <c r="CA302" s="917"/>
      <c r="CB302" s="64"/>
      <c r="CC302" s="919"/>
      <c r="CD302" s="919"/>
      <c r="CE302" s="64"/>
      <c r="CF302" s="528"/>
      <c r="CG302" s="529"/>
      <c r="CH302" s="64"/>
      <c r="CI302" s="64"/>
      <c r="CJ302" s="64"/>
      <c r="CK302" s="64"/>
      <c r="CL302" s="64"/>
      <c r="CM302" s="64"/>
      <c r="CN302" s="64"/>
      <c r="CO302" s="64"/>
      <c r="CP302" s="64"/>
      <c r="CQ302" s="64"/>
      <c r="CR302" s="64"/>
      <c r="CS302" s="64"/>
      <c r="CT302" s="64"/>
      <c r="CU302" s="64"/>
      <c r="CV302" s="64"/>
      <c r="CW302" s="64"/>
      <c r="CX302" s="64"/>
      <c r="CY302" s="1011"/>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c r="FC302" s="64"/>
      <c r="FD302" s="64"/>
      <c r="FE302" s="64"/>
      <c r="FF302" s="64"/>
      <c r="FG302" s="64"/>
      <c r="FH302" s="64"/>
      <c r="FI302" s="64"/>
      <c r="FJ302" s="64"/>
      <c r="FK302" s="64"/>
      <c r="FL302" s="64"/>
      <c r="FM302" s="64"/>
      <c r="FN302" s="64"/>
      <c r="FO302" s="64"/>
      <c r="FP302" s="64"/>
      <c r="FQ302" s="64"/>
      <c r="FR302" s="64"/>
      <c r="FS302" s="64"/>
      <c r="FT302" s="64"/>
      <c r="FU302" s="64"/>
      <c r="FV302" s="64"/>
      <c r="FW302" s="64"/>
      <c r="FX302" s="64"/>
      <c r="FY302" s="64"/>
      <c r="FZ302" s="64"/>
      <c r="GA302" s="64"/>
      <c r="GB302" s="64"/>
      <c r="GC302" s="64"/>
      <c r="GD302" s="64"/>
      <c r="GE302" s="64"/>
      <c r="GF302" s="64"/>
      <c r="GG302" s="64"/>
      <c r="GH302" s="64"/>
      <c r="GI302" s="64"/>
      <c r="GJ302" s="64"/>
      <c r="GK302" s="64"/>
      <c r="GL302" s="64"/>
      <c r="GM302" s="64"/>
      <c r="GN302" s="64"/>
      <c r="GO302" s="64"/>
      <c r="GP302" s="64"/>
      <c r="GQ302" s="64"/>
      <c r="GR302" s="64"/>
      <c r="GS302" s="64"/>
      <c r="GT302" s="64"/>
      <c r="GU302" s="64"/>
      <c r="GV302" s="64"/>
      <c r="GW302" s="64"/>
      <c r="GX302" s="64"/>
      <c r="GY302" s="64"/>
      <c r="GZ302" s="64"/>
      <c r="HA302" s="64"/>
      <c r="HB302" s="64"/>
      <c r="HC302" s="64"/>
      <c r="HD302" s="64"/>
      <c r="HE302" s="64"/>
      <c r="HF302" s="64"/>
      <c r="HG302" s="64"/>
      <c r="HH302" s="64"/>
      <c r="HI302" s="64"/>
      <c r="HJ302" s="64"/>
      <c r="HK302" s="64"/>
      <c r="HL302" s="64"/>
      <c r="HM302" s="64"/>
      <c r="HN302" s="64"/>
      <c r="HO302" s="64"/>
      <c r="HP302" s="64"/>
      <c r="HQ302" s="64"/>
      <c r="HR302" s="64"/>
      <c r="HS302" s="64"/>
      <c r="HT302" s="64"/>
      <c r="HU302" s="64"/>
      <c r="HV302" s="64"/>
      <c r="HW302" s="64"/>
      <c r="HX302" s="64"/>
      <c r="HY302" s="64"/>
      <c r="HZ302" s="64"/>
      <c r="IA302" s="64"/>
      <c r="IB302" s="64"/>
      <c r="IC302" s="64"/>
      <c r="ID302" s="64"/>
      <c r="IE302" s="64"/>
      <c r="IF302" s="64"/>
      <c r="IG302" s="64"/>
      <c r="IH302" s="64"/>
      <c r="II302" s="64"/>
      <c r="IJ302" s="64"/>
      <c r="IK302" s="64"/>
      <c r="IL302" s="64"/>
      <c r="IM302" s="64"/>
      <c r="IN302" s="64"/>
      <c r="IO302" s="64"/>
      <c r="IP302" s="64"/>
      <c r="IQ302" s="64"/>
      <c r="IR302" s="64"/>
      <c r="IS302" s="64"/>
      <c r="IT302" s="64"/>
      <c r="IU302" s="64"/>
      <c r="IV302" s="64"/>
      <c r="IW302" s="64"/>
      <c r="IX302" s="64"/>
      <c r="IY302" s="64"/>
      <c r="IZ302" s="64"/>
      <c r="JA302" s="64"/>
      <c r="JB302" s="64"/>
      <c r="JC302" s="64"/>
      <c r="JD302" s="64"/>
      <c r="JE302" s="64"/>
      <c r="JF302" s="64"/>
      <c r="JG302" s="64"/>
      <c r="JH302" s="64"/>
      <c r="JI302" s="64"/>
    </row>
    <row r="303" spans="1:269" s="920" customFormat="1" x14ac:dyDescent="0.2">
      <c r="A303" s="116"/>
      <c r="B303" s="64"/>
      <c r="C303" s="64"/>
      <c r="D303" s="64"/>
      <c r="E303" s="64"/>
      <c r="F303" s="64"/>
      <c r="G303" s="64"/>
      <c r="H303" s="64"/>
      <c r="I303" s="64"/>
      <c r="J303" s="116"/>
      <c r="K303" s="116"/>
      <c r="L303" s="116"/>
      <c r="M303" s="116"/>
      <c r="N303" s="116"/>
      <c r="O303" s="116"/>
      <c r="P303" s="116"/>
      <c r="Q303" s="102"/>
      <c r="R303" s="102"/>
      <c r="S303" s="102"/>
      <c r="T303" s="102"/>
      <c r="U303" s="913"/>
      <c r="V303" s="114"/>
      <c r="W303" s="805"/>
      <c r="X303" s="805"/>
      <c r="Y303" s="805"/>
      <c r="Z303" s="914"/>
      <c r="AA303" s="102"/>
      <c r="AB303" s="102"/>
      <c r="AC303" s="102"/>
      <c r="AD303" s="102"/>
      <c r="AE303" s="102"/>
      <c r="AF303" s="102"/>
      <c r="AG303" s="102"/>
      <c r="AH303" s="102"/>
      <c r="AI303" s="102"/>
      <c r="AJ303" s="906"/>
      <c r="AK303" s="102"/>
      <c r="AL303" s="915"/>
      <c r="AM303" s="915"/>
      <c r="AN303" s="114"/>
      <c r="AO303" s="64"/>
      <c r="AP303" s="64"/>
      <c r="AQ303" s="64"/>
      <c r="AR303" s="916"/>
      <c r="AS303" s="916"/>
      <c r="AT303" s="916"/>
      <c r="AU303" s="917"/>
      <c r="AV303" s="917"/>
      <c r="AW303" s="917"/>
      <c r="AX303" s="918"/>
      <c r="AY303" s="916"/>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917"/>
      <c r="CA303" s="917"/>
      <c r="CB303" s="64"/>
      <c r="CC303" s="919"/>
      <c r="CD303" s="919"/>
      <c r="CE303" s="64"/>
      <c r="CF303" s="528"/>
      <c r="CG303" s="529"/>
      <c r="CH303" s="64"/>
      <c r="CI303" s="64"/>
      <c r="CJ303" s="64"/>
      <c r="CK303" s="64"/>
      <c r="CL303" s="64"/>
      <c r="CM303" s="64"/>
      <c r="CN303" s="64"/>
      <c r="CO303" s="64"/>
      <c r="CP303" s="64"/>
      <c r="CQ303" s="64"/>
      <c r="CR303" s="64"/>
      <c r="CS303" s="64"/>
      <c r="CT303" s="64"/>
      <c r="CU303" s="64"/>
      <c r="CV303" s="64"/>
      <c r="CW303" s="64"/>
      <c r="CX303" s="64"/>
      <c r="CY303" s="1011"/>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c r="FC303" s="64"/>
      <c r="FD303" s="64"/>
      <c r="FE303" s="64"/>
      <c r="FF303" s="64"/>
      <c r="FG303" s="64"/>
      <c r="FH303" s="64"/>
      <c r="FI303" s="64"/>
      <c r="FJ303" s="64"/>
      <c r="FK303" s="64"/>
      <c r="FL303" s="64"/>
      <c r="FM303" s="64"/>
      <c r="FN303" s="64"/>
      <c r="FO303" s="64"/>
      <c r="FP303" s="64"/>
      <c r="FQ303" s="64"/>
      <c r="FR303" s="64"/>
      <c r="FS303" s="64"/>
      <c r="FT303" s="64"/>
      <c r="FU303" s="64"/>
      <c r="FV303" s="64"/>
      <c r="FW303" s="64"/>
      <c r="FX303" s="64"/>
      <c r="FY303" s="64"/>
      <c r="FZ303" s="64"/>
      <c r="GA303" s="64"/>
      <c r="GB303" s="64"/>
      <c r="GC303" s="64"/>
      <c r="GD303" s="64"/>
      <c r="GE303" s="64"/>
      <c r="GF303" s="64"/>
      <c r="GG303" s="64"/>
      <c r="GH303" s="64"/>
      <c r="GI303" s="64"/>
      <c r="GJ303" s="64"/>
      <c r="GK303" s="64"/>
      <c r="GL303" s="64"/>
      <c r="GM303" s="64"/>
      <c r="GN303" s="64"/>
      <c r="GO303" s="64"/>
      <c r="GP303" s="64"/>
      <c r="GQ303" s="64"/>
      <c r="GR303" s="64"/>
      <c r="GS303" s="64"/>
      <c r="GT303" s="64"/>
      <c r="GU303" s="64"/>
      <c r="GV303" s="64"/>
      <c r="GW303" s="64"/>
      <c r="GX303" s="64"/>
      <c r="GY303" s="64"/>
      <c r="GZ303" s="64"/>
      <c r="HA303" s="64"/>
      <c r="HB303" s="64"/>
      <c r="HC303" s="64"/>
      <c r="HD303" s="64"/>
      <c r="HE303" s="64"/>
      <c r="HF303" s="64"/>
      <c r="HG303" s="64"/>
      <c r="HH303" s="64"/>
      <c r="HI303" s="64"/>
      <c r="HJ303" s="64"/>
      <c r="HK303" s="64"/>
      <c r="HL303" s="64"/>
      <c r="HM303" s="64"/>
      <c r="HN303" s="64"/>
      <c r="HO303" s="64"/>
      <c r="HP303" s="64"/>
      <c r="HQ303" s="64"/>
      <c r="HR303" s="64"/>
      <c r="HS303" s="64"/>
      <c r="HT303" s="64"/>
      <c r="HU303" s="64"/>
      <c r="HV303" s="64"/>
      <c r="HW303" s="64"/>
      <c r="HX303" s="64"/>
      <c r="HY303" s="64"/>
      <c r="HZ303" s="64"/>
      <c r="IA303" s="64"/>
      <c r="IB303" s="64"/>
      <c r="IC303" s="64"/>
      <c r="ID303" s="64"/>
      <c r="IE303" s="64"/>
      <c r="IF303" s="64"/>
      <c r="IG303" s="64"/>
      <c r="IH303" s="64"/>
      <c r="II303" s="64"/>
      <c r="IJ303" s="64"/>
      <c r="IK303" s="64"/>
      <c r="IL303" s="64"/>
      <c r="IM303" s="64"/>
      <c r="IN303" s="64"/>
      <c r="IO303" s="64"/>
      <c r="IP303" s="64"/>
      <c r="IQ303" s="64"/>
      <c r="IR303" s="64"/>
      <c r="IS303" s="64"/>
      <c r="IT303" s="64"/>
      <c r="IU303" s="64"/>
      <c r="IV303" s="64"/>
      <c r="IW303" s="64"/>
      <c r="IX303" s="64"/>
      <c r="IY303" s="64"/>
      <c r="IZ303" s="64"/>
      <c r="JA303" s="64"/>
      <c r="JB303" s="64"/>
      <c r="JC303" s="64"/>
      <c r="JD303" s="64"/>
      <c r="JE303" s="64"/>
      <c r="JF303" s="64"/>
      <c r="JG303" s="64"/>
      <c r="JH303" s="64"/>
      <c r="JI303" s="64"/>
    </row>
    <row r="304" spans="1:269" s="920" customFormat="1" x14ac:dyDescent="0.2">
      <c r="A304" s="116"/>
      <c r="B304" s="64"/>
      <c r="C304" s="64"/>
      <c r="D304" s="64"/>
      <c r="E304" s="64"/>
      <c r="F304" s="64"/>
      <c r="G304" s="64"/>
      <c r="H304" s="64"/>
      <c r="I304" s="64"/>
      <c r="J304" s="116"/>
      <c r="K304" s="116"/>
      <c r="L304" s="116"/>
      <c r="M304" s="116"/>
      <c r="N304" s="116"/>
      <c r="O304" s="116"/>
      <c r="P304" s="116"/>
      <c r="Q304" s="102"/>
      <c r="R304" s="102"/>
      <c r="S304" s="102"/>
      <c r="T304" s="102"/>
      <c r="U304" s="913"/>
      <c r="V304" s="114"/>
      <c r="W304" s="805"/>
      <c r="X304" s="805"/>
      <c r="Y304" s="805"/>
      <c r="Z304" s="914"/>
      <c r="AA304" s="102"/>
      <c r="AB304" s="102"/>
      <c r="AC304" s="102"/>
      <c r="AD304" s="102"/>
      <c r="AE304" s="102"/>
      <c r="AF304" s="102"/>
      <c r="AG304" s="102"/>
      <c r="AH304" s="102"/>
      <c r="AI304" s="102"/>
      <c r="AJ304" s="906"/>
      <c r="AK304" s="102"/>
      <c r="AL304" s="915"/>
      <c r="AM304" s="915"/>
      <c r="AN304" s="114"/>
      <c r="AO304" s="64"/>
      <c r="AP304" s="64"/>
      <c r="AQ304" s="64"/>
      <c r="AR304" s="916"/>
      <c r="AS304" s="916"/>
      <c r="AT304" s="916"/>
      <c r="AU304" s="917"/>
      <c r="AV304" s="917"/>
      <c r="AW304" s="917"/>
      <c r="AX304" s="918"/>
      <c r="AY304" s="916"/>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917"/>
      <c r="CA304" s="917"/>
      <c r="CB304" s="64"/>
      <c r="CC304" s="919"/>
      <c r="CD304" s="919"/>
      <c r="CE304" s="64"/>
      <c r="CF304" s="528"/>
      <c r="CG304" s="529"/>
      <c r="CH304" s="64"/>
      <c r="CI304" s="64"/>
      <c r="CJ304" s="64"/>
      <c r="CK304" s="64"/>
      <c r="CL304" s="64"/>
      <c r="CM304" s="64"/>
      <c r="CN304" s="64"/>
      <c r="CO304" s="64"/>
      <c r="CP304" s="64"/>
      <c r="CQ304" s="64"/>
      <c r="CR304" s="64"/>
      <c r="CS304" s="64"/>
      <c r="CT304" s="64"/>
      <c r="CU304" s="64"/>
      <c r="CV304" s="64"/>
      <c r="CW304" s="64"/>
      <c r="CX304" s="64"/>
      <c r="CY304" s="1011"/>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c r="FC304" s="64"/>
      <c r="FD304" s="64"/>
      <c r="FE304" s="64"/>
      <c r="FF304" s="64"/>
      <c r="FG304" s="64"/>
      <c r="FH304" s="64"/>
      <c r="FI304" s="64"/>
      <c r="FJ304" s="64"/>
      <c r="FK304" s="64"/>
      <c r="FL304" s="64"/>
      <c r="FM304" s="64"/>
      <c r="FN304" s="64"/>
      <c r="FO304" s="64"/>
      <c r="FP304" s="64"/>
      <c r="FQ304" s="64"/>
      <c r="FR304" s="64"/>
      <c r="FS304" s="64"/>
      <c r="FT304" s="64"/>
      <c r="FU304" s="64"/>
      <c r="FV304" s="64"/>
      <c r="FW304" s="64"/>
      <c r="FX304" s="64"/>
      <c r="FY304" s="64"/>
      <c r="FZ304" s="64"/>
      <c r="GA304" s="64"/>
      <c r="GB304" s="64"/>
      <c r="GC304" s="64"/>
      <c r="GD304" s="64"/>
      <c r="GE304" s="64"/>
      <c r="GF304" s="64"/>
      <c r="GG304" s="64"/>
      <c r="GH304" s="64"/>
      <c r="GI304" s="64"/>
      <c r="GJ304" s="64"/>
      <c r="GK304" s="64"/>
      <c r="GL304" s="64"/>
      <c r="GM304" s="64"/>
      <c r="GN304" s="64"/>
      <c r="GO304" s="64"/>
      <c r="GP304" s="64"/>
      <c r="GQ304" s="64"/>
      <c r="GR304" s="64"/>
      <c r="GS304" s="64"/>
      <c r="GT304" s="64"/>
      <c r="GU304" s="64"/>
      <c r="GV304" s="64"/>
      <c r="GW304" s="64"/>
      <c r="GX304" s="64"/>
      <c r="GY304" s="64"/>
      <c r="GZ304" s="64"/>
      <c r="HA304" s="64"/>
      <c r="HB304" s="64"/>
      <c r="HC304" s="64"/>
      <c r="HD304" s="64"/>
      <c r="HE304" s="64"/>
      <c r="HF304" s="64"/>
      <c r="HG304" s="64"/>
      <c r="HH304" s="64"/>
      <c r="HI304" s="64"/>
      <c r="HJ304" s="64"/>
      <c r="HK304" s="64"/>
      <c r="HL304" s="64"/>
      <c r="HM304" s="64"/>
      <c r="HN304" s="64"/>
      <c r="HO304" s="64"/>
      <c r="HP304" s="64"/>
      <c r="HQ304" s="64"/>
      <c r="HR304" s="64"/>
      <c r="HS304" s="64"/>
      <c r="HT304" s="64"/>
      <c r="HU304" s="64"/>
      <c r="HV304" s="64"/>
      <c r="HW304" s="64"/>
      <c r="HX304" s="64"/>
      <c r="HY304" s="64"/>
      <c r="HZ304" s="64"/>
      <c r="IA304" s="64"/>
      <c r="IB304" s="64"/>
      <c r="IC304" s="64"/>
      <c r="ID304" s="64"/>
      <c r="IE304" s="64"/>
      <c r="IF304" s="64"/>
      <c r="IG304" s="64"/>
      <c r="IH304" s="64"/>
      <c r="II304" s="64"/>
      <c r="IJ304" s="64"/>
      <c r="IK304" s="64"/>
      <c r="IL304" s="64"/>
      <c r="IM304" s="64"/>
      <c r="IN304" s="64"/>
      <c r="IO304" s="64"/>
      <c r="IP304" s="64"/>
      <c r="IQ304" s="64"/>
      <c r="IR304" s="64"/>
      <c r="IS304" s="64"/>
      <c r="IT304" s="64"/>
      <c r="IU304" s="64"/>
      <c r="IV304" s="64"/>
      <c r="IW304" s="64"/>
      <c r="IX304" s="64"/>
      <c r="IY304" s="64"/>
      <c r="IZ304" s="64"/>
      <c r="JA304" s="64"/>
      <c r="JB304" s="64"/>
      <c r="JC304" s="64"/>
      <c r="JD304" s="64"/>
      <c r="JE304" s="64"/>
      <c r="JF304" s="64"/>
      <c r="JG304" s="64"/>
      <c r="JH304" s="64"/>
      <c r="JI304" s="64"/>
    </row>
    <row r="305" spans="1:269" s="920" customFormat="1" x14ac:dyDescent="0.2">
      <c r="A305" s="116"/>
      <c r="B305" s="64"/>
      <c r="C305" s="64"/>
      <c r="D305" s="64"/>
      <c r="E305" s="64"/>
      <c r="F305" s="64"/>
      <c r="G305" s="64"/>
      <c r="H305" s="64"/>
      <c r="I305" s="64"/>
      <c r="J305" s="116"/>
      <c r="K305" s="116"/>
      <c r="L305" s="116"/>
      <c r="M305" s="116"/>
      <c r="N305" s="116"/>
      <c r="O305" s="116"/>
      <c r="P305" s="116"/>
      <c r="Q305" s="102"/>
      <c r="R305" s="102"/>
      <c r="S305" s="102"/>
      <c r="T305" s="102"/>
      <c r="U305" s="913"/>
      <c r="V305" s="114"/>
      <c r="W305" s="805"/>
      <c r="X305" s="805"/>
      <c r="Y305" s="805"/>
      <c r="Z305" s="914"/>
      <c r="AA305" s="102"/>
      <c r="AB305" s="102"/>
      <c r="AC305" s="102"/>
      <c r="AD305" s="102"/>
      <c r="AE305" s="102"/>
      <c r="AF305" s="102"/>
      <c r="AG305" s="102"/>
      <c r="AH305" s="102"/>
      <c r="AI305" s="102"/>
      <c r="AJ305" s="906"/>
      <c r="AK305" s="102"/>
      <c r="AL305" s="915"/>
      <c r="AM305" s="915"/>
      <c r="AN305" s="114"/>
      <c r="AO305" s="64"/>
      <c r="AP305" s="64"/>
      <c r="AQ305" s="64"/>
      <c r="AR305" s="916"/>
      <c r="AS305" s="916"/>
      <c r="AT305" s="916"/>
      <c r="AU305" s="917"/>
      <c r="AV305" s="917"/>
      <c r="AW305" s="917"/>
      <c r="AX305" s="918"/>
      <c r="AY305" s="916"/>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917"/>
      <c r="CA305" s="917"/>
      <c r="CB305" s="64"/>
      <c r="CC305" s="919"/>
      <c r="CD305" s="919"/>
      <c r="CE305" s="64"/>
      <c r="CF305" s="528"/>
      <c r="CG305" s="529"/>
      <c r="CH305" s="64"/>
      <c r="CI305" s="64"/>
      <c r="CJ305" s="64"/>
      <c r="CK305" s="64"/>
      <c r="CL305" s="64"/>
      <c r="CM305" s="64"/>
      <c r="CN305" s="64"/>
      <c r="CO305" s="64"/>
      <c r="CP305" s="64"/>
      <c r="CQ305" s="64"/>
      <c r="CR305" s="64"/>
      <c r="CS305" s="64"/>
      <c r="CT305" s="64"/>
      <c r="CU305" s="64"/>
      <c r="CV305" s="64"/>
      <c r="CW305" s="64"/>
      <c r="CX305" s="64"/>
      <c r="CY305" s="1011"/>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c r="FC305" s="64"/>
      <c r="FD305" s="64"/>
      <c r="FE305" s="64"/>
      <c r="FF305" s="64"/>
      <c r="FG305" s="64"/>
      <c r="FH305" s="64"/>
      <c r="FI305" s="64"/>
      <c r="FJ305" s="64"/>
      <c r="FK305" s="64"/>
      <c r="FL305" s="64"/>
      <c r="FM305" s="64"/>
      <c r="FN305" s="64"/>
      <c r="FO305" s="64"/>
      <c r="FP305" s="64"/>
      <c r="FQ305" s="64"/>
      <c r="FR305" s="64"/>
      <c r="FS305" s="64"/>
      <c r="FT305" s="64"/>
      <c r="FU305" s="64"/>
      <c r="FV305" s="64"/>
      <c r="FW305" s="64"/>
      <c r="FX305" s="64"/>
      <c r="FY305" s="64"/>
      <c r="FZ305" s="64"/>
      <c r="GA305" s="64"/>
      <c r="GB305" s="64"/>
      <c r="GC305" s="64"/>
      <c r="GD305" s="64"/>
      <c r="GE305" s="64"/>
      <c r="GF305" s="64"/>
      <c r="GG305" s="64"/>
      <c r="GH305" s="64"/>
      <c r="GI305" s="64"/>
      <c r="GJ305" s="64"/>
      <c r="GK305" s="64"/>
      <c r="GL305" s="64"/>
      <c r="GM305" s="64"/>
      <c r="GN305" s="64"/>
      <c r="GO305" s="64"/>
      <c r="GP305" s="64"/>
      <c r="GQ305" s="64"/>
      <c r="GR305" s="64"/>
      <c r="GS305" s="64"/>
      <c r="GT305" s="64"/>
      <c r="GU305" s="64"/>
      <c r="GV305" s="64"/>
      <c r="GW305" s="64"/>
      <c r="GX305" s="64"/>
      <c r="GY305" s="64"/>
      <c r="GZ305" s="64"/>
      <c r="HA305" s="64"/>
      <c r="HB305" s="64"/>
      <c r="HC305" s="64"/>
      <c r="HD305" s="64"/>
      <c r="HE305" s="64"/>
      <c r="HF305" s="64"/>
      <c r="HG305" s="64"/>
      <c r="HH305" s="64"/>
      <c r="HI305" s="64"/>
      <c r="HJ305" s="64"/>
      <c r="HK305" s="64"/>
      <c r="HL305" s="64"/>
      <c r="HM305" s="64"/>
      <c r="HN305" s="64"/>
      <c r="HO305" s="64"/>
      <c r="HP305" s="64"/>
      <c r="HQ305" s="64"/>
      <c r="HR305" s="64"/>
      <c r="HS305" s="64"/>
      <c r="HT305" s="64"/>
      <c r="HU305" s="64"/>
      <c r="HV305" s="64"/>
      <c r="HW305" s="64"/>
      <c r="HX305" s="64"/>
      <c r="HY305" s="64"/>
      <c r="HZ305" s="64"/>
      <c r="IA305" s="64"/>
      <c r="IB305" s="64"/>
      <c r="IC305" s="64"/>
      <c r="ID305" s="64"/>
      <c r="IE305" s="64"/>
      <c r="IF305" s="64"/>
      <c r="IG305" s="64"/>
      <c r="IH305" s="64"/>
      <c r="II305" s="64"/>
      <c r="IJ305" s="64"/>
      <c r="IK305" s="64"/>
      <c r="IL305" s="64"/>
      <c r="IM305" s="64"/>
      <c r="IN305" s="64"/>
      <c r="IO305" s="64"/>
      <c r="IP305" s="64"/>
      <c r="IQ305" s="64"/>
      <c r="IR305" s="64"/>
      <c r="IS305" s="64"/>
      <c r="IT305" s="64"/>
      <c r="IU305" s="64"/>
      <c r="IV305" s="64"/>
      <c r="IW305" s="64"/>
      <c r="IX305" s="64"/>
      <c r="IY305" s="64"/>
      <c r="IZ305" s="64"/>
      <c r="JA305" s="64"/>
      <c r="JB305" s="64"/>
      <c r="JC305" s="64"/>
      <c r="JD305" s="64"/>
      <c r="JE305" s="64"/>
      <c r="JF305" s="64"/>
      <c r="JG305" s="64"/>
      <c r="JH305" s="64"/>
      <c r="JI305" s="64"/>
    </row>
    <row r="306" spans="1:269" s="920" customFormat="1" x14ac:dyDescent="0.2">
      <c r="A306" s="116"/>
      <c r="B306" s="64"/>
      <c r="C306" s="64"/>
      <c r="D306" s="64"/>
      <c r="E306" s="64"/>
      <c r="F306" s="64"/>
      <c r="G306" s="64"/>
      <c r="H306" s="64"/>
      <c r="I306" s="64"/>
      <c r="J306" s="116"/>
      <c r="K306" s="116"/>
      <c r="L306" s="116"/>
      <c r="M306" s="116"/>
      <c r="N306" s="116"/>
      <c r="O306" s="116"/>
      <c r="P306" s="116"/>
      <c r="Q306" s="102"/>
      <c r="R306" s="102"/>
      <c r="S306" s="102"/>
      <c r="T306" s="102"/>
      <c r="U306" s="913"/>
      <c r="V306" s="114"/>
      <c r="W306" s="805"/>
      <c r="X306" s="805"/>
      <c r="Y306" s="805"/>
      <c r="Z306" s="914"/>
      <c r="AA306" s="102"/>
      <c r="AB306" s="102"/>
      <c r="AC306" s="102"/>
      <c r="AD306" s="102"/>
      <c r="AE306" s="102"/>
      <c r="AF306" s="102"/>
      <c r="AG306" s="102"/>
      <c r="AH306" s="102"/>
      <c r="AI306" s="102"/>
      <c r="AJ306" s="906"/>
      <c r="AK306" s="102"/>
      <c r="AL306" s="915"/>
      <c r="AM306" s="915"/>
      <c r="AN306" s="114"/>
      <c r="AO306" s="64"/>
      <c r="AP306" s="64"/>
      <c r="AQ306" s="64"/>
      <c r="AR306" s="916"/>
      <c r="AS306" s="916"/>
      <c r="AT306" s="916"/>
      <c r="AU306" s="917"/>
      <c r="AV306" s="917"/>
      <c r="AW306" s="917"/>
      <c r="AX306" s="918"/>
      <c r="AY306" s="916"/>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917"/>
      <c r="CA306" s="917"/>
      <c r="CB306" s="64"/>
      <c r="CC306" s="919"/>
      <c r="CD306" s="919"/>
      <c r="CE306" s="64"/>
      <c r="CF306" s="528"/>
      <c r="CG306" s="529"/>
      <c r="CH306" s="64"/>
      <c r="CI306" s="64"/>
      <c r="CJ306" s="64"/>
      <c r="CK306" s="64"/>
      <c r="CL306" s="64"/>
      <c r="CM306" s="64"/>
      <c r="CN306" s="64"/>
      <c r="CO306" s="64"/>
      <c r="CP306" s="64"/>
      <c r="CQ306" s="64"/>
      <c r="CR306" s="64"/>
      <c r="CS306" s="64"/>
      <c r="CT306" s="64"/>
      <c r="CU306" s="64"/>
      <c r="CV306" s="64"/>
      <c r="CW306" s="64"/>
      <c r="CX306" s="64"/>
      <c r="CY306" s="1011"/>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c r="FC306" s="64"/>
      <c r="FD306" s="64"/>
      <c r="FE306" s="64"/>
      <c r="FF306" s="64"/>
      <c r="FG306" s="64"/>
      <c r="FH306" s="64"/>
      <c r="FI306" s="64"/>
      <c r="FJ306" s="64"/>
      <c r="FK306" s="64"/>
      <c r="FL306" s="64"/>
      <c r="FM306" s="64"/>
      <c r="FN306" s="64"/>
      <c r="FO306" s="64"/>
      <c r="FP306" s="64"/>
      <c r="FQ306" s="64"/>
      <c r="FR306" s="64"/>
      <c r="FS306" s="64"/>
      <c r="FT306" s="64"/>
      <c r="FU306" s="64"/>
      <c r="FV306" s="64"/>
      <c r="FW306" s="64"/>
      <c r="FX306" s="64"/>
      <c r="FY306" s="64"/>
      <c r="FZ306" s="64"/>
      <c r="GA306" s="64"/>
      <c r="GB306" s="64"/>
      <c r="GC306" s="64"/>
      <c r="GD306" s="64"/>
      <c r="GE306" s="64"/>
      <c r="GF306" s="64"/>
      <c r="GG306" s="64"/>
      <c r="GH306" s="64"/>
      <c r="GI306" s="64"/>
      <c r="GJ306" s="64"/>
      <c r="GK306" s="64"/>
      <c r="GL306" s="64"/>
      <c r="GM306" s="64"/>
      <c r="GN306" s="64"/>
      <c r="GO306" s="64"/>
      <c r="GP306" s="64"/>
      <c r="GQ306" s="64"/>
      <c r="GR306" s="64"/>
      <c r="GS306" s="64"/>
      <c r="GT306" s="64"/>
      <c r="GU306" s="64"/>
      <c r="GV306" s="64"/>
      <c r="GW306" s="64"/>
      <c r="GX306" s="64"/>
      <c r="GY306" s="64"/>
      <c r="GZ306" s="64"/>
      <c r="HA306" s="64"/>
      <c r="HB306" s="64"/>
      <c r="HC306" s="64"/>
      <c r="HD306" s="64"/>
      <c r="HE306" s="64"/>
      <c r="HF306" s="64"/>
      <c r="HG306" s="64"/>
      <c r="HH306" s="64"/>
      <c r="HI306" s="64"/>
      <c r="HJ306" s="64"/>
      <c r="HK306" s="64"/>
      <c r="HL306" s="64"/>
      <c r="HM306" s="64"/>
      <c r="HN306" s="64"/>
      <c r="HO306" s="64"/>
      <c r="HP306" s="64"/>
      <c r="HQ306" s="64"/>
      <c r="HR306" s="64"/>
      <c r="HS306" s="64"/>
      <c r="HT306" s="64"/>
      <c r="HU306" s="64"/>
      <c r="HV306" s="64"/>
      <c r="HW306" s="64"/>
      <c r="HX306" s="64"/>
      <c r="HY306" s="64"/>
      <c r="HZ306" s="64"/>
      <c r="IA306" s="64"/>
      <c r="IB306" s="64"/>
      <c r="IC306" s="64"/>
      <c r="ID306" s="64"/>
      <c r="IE306" s="64"/>
      <c r="IF306" s="64"/>
      <c r="IG306" s="64"/>
      <c r="IH306" s="64"/>
      <c r="II306" s="64"/>
      <c r="IJ306" s="64"/>
      <c r="IK306" s="64"/>
      <c r="IL306" s="64"/>
      <c r="IM306" s="64"/>
      <c r="IN306" s="64"/>
      <c r="IO306" s="64"/>
      <c r="IP306" s="64"/>
      <c r="IQ306" s="64"/>
      <c r="IR306" s="64"/>
      <c r="IS306" s="64"/>
      <c r="IT306" s="64"/>
      <c r="IU306" s="64"/>
      <c r="IV306" s="64"/>
      <c r="IW306" s="64"/>
      <c r="IX306" s="64"/>
      <c r="IY306" s="64"/>
      <c r="IZ306" s="64"/>
      <c r="JA306" s="64"/>
      <c r="JB306" s="64"/>
      <c r="JC306" s="64"/>
      <c r="JD306" s="64"/>
      <c r="JE306" s="64"/>
      <c r="JF306" s="64"/>
      <c r="JG306" s="64"/>
      <c r="JH306" s="64"/>
      <c r="JI306" s="64"/>
    </row>
    <row r="307" spans="1:269" s="920" customFormat="1" x14ac:dyDescent="0.2">
      <c r="A307" s="116"/>
      <c r="B307" s="64"/>
      <c r="C307" s="64"/>
      <c r="D307" s="64"/>
      <c r="E307" s="64"/>
      <c r="F307" s="64"/>
      <c r="G307" s="64"/>
      <c r="H307" s="64"/>
      <c r="I307" s="64"/>
      <c r="J307" s="116"/>
      <c r="K307" s="116"/>
      <c r="L307" s="116"/>
      <c r="M307" s="116"/>
      <c r="N307" s="116"/>
      <c r="O307" s="116"/>
      <c r="P307" s="116"/>
      <c r="Q307" s="102"/>
      <c r="R307" s="102"/>
      <c r="S307" s="102"/>
      <c r="T307" s="102"/>
      <c r="U307" s="913"/>
      <c r="V307" s="114"/>
      <c r="W307" s="805"/>
      <c r="X307" s="805"/>
      <c r="Y307" s="805"/>
      <c r="Z307" s="914"/>
      <c r="AA307" s="102"/>
      <c r="AB307" s="102"/>
      <c r="AC307" s="102"/>
      <c r="AD307" s="102"/>
      <c r="AE307" s="102"/>
      <c r="AF307" s="102"/>
      <c r="AG307" s="102"/>
      <c r="AH307" s="102"/>
      <c r="AI307" s="102"/>
      <c r="AJ307" s="906"/>
      <c r="AK307" s="102"/>
      <c r="AL307" s="915"/>
      <c r="AM307" s="915"/>
      <c r="AN307" s="114"/>
      <c r="AO307" s="64"/>
      <c r="AP307" s="64"/>
      <c r="AQ307" s="64"/>
      <c r="AR307" s="916"/>
      <c r="AS307" s="916"/>
      <c r="AT307" s="916"/>
      <c r="AU307" s="917"/>
      <c r="AV307" s="917"/>
      <c r="AW307" s="917"/>
      <c r="AX307" s="918"/>
      <c r="AY307" s="916"/>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917"/>
      <c r="CA307" s="917"/>
      <c r="CB307" s="64"/>
      <c r="CC307" s="919"/>
      <c r="CD307" s="919"/>
      <c r="CE307" s="64"/>
      <c r="CF307" s="528"/>
      <c r="CG307" s="529"/>
      <c r="CH307" s="64"/>
      <c r="CI307" s="64"/>
      <c r="CJ307" s="64"/>
      <c r="CK307" s="64"/>
      <c r="CL307" s="64"/>
      <c r="CM307" s="64"/>
      <c r="CN307" s="64"/>
      <c r="CO307" s="64"/>
      <c r="CP307" s="64"/>
      <c r="CQ307" s="64"/>
      <c r="CR307" s="64"/>
      <c r="CS307" s="64"/>
      <c r="CT307" s="64"/>
      <c r="CU307" s="64"/>
      <c r="CV307" s="64"/>
      <c r="CW307" s="64"/>
      <c r="CX307" s="64"/>
      <c r="CY307" s="1011"/>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c r="FC307" s="64"/>
      <c r="FD307" s="64"/>
      <c r="FE307" s="64"/>
      <c r="FF307" s="64"/>
      <c r="FG307" s="64"/>
      <c r="FH307" s="64"/>
      <c r="FI307" s="64"/>
      <c r="FJ307" s="64"/>
      <c r="FK307" s="64"/>
      <c r="FL307" s="64"/>
      <c r="FM307" s="64"/>
      <c r="FN307" s="64"/>
      <c r="FO307" s="64"/>
      <c r="FP307" s="64"/>
      <c r="FQ307" s="64"/>
      <c r="FR307" s="64"/>
      <c r="FS307" s="64"/>
      <c r="FT307" s="64"/>
      <c r="FU307" s="64"/>
      <c r="FV307" s="64"/>
      <c r="FW307" s="64"/>
      <c r="FX307" s="64"/>
      <c r="FY307" s="64"/>
      <c r="FZ307" s="64"/>
      <c r="GA307" s="64"/>
      <c r="GB307" s="64"/>
      <c r="GC307" s="64"/>
      <c r="GD307" s="64"/>
      <c r="GE307" s="64"/>
      <c r="GF307" s="64"/>
      <c r="GG307" s="64"/>
      <c r="GH307" s="64"/>
      <c r="GI307" s="64"/>
      <c r="GJ307" s="64"/>
      <c r="GK307" s="64"/>
      <c r="GL307" s="64"/>
      <c r="GM307" s="64"/>
      <c r="GN307" s="64"/>
      <c r="GO307" s="64"/>
      <c r="GP307" s="64"/>
      <c r="GQ307" s="64"/>
      <c r="GR307" s="64"/>
      <c r="GS307" s="64"/>
      <c r="GT307" s="64"/>
      <c r="GU307" s="64"/>
      <c r="GV307" s="64"/>
      <c r="GW307" s="64"/>
      <c r="GX307" s="64"/>
      <c r="GY307" s="64"/>
      <c r="GZ307" s="64"/>
      <c r="HA307" s="64"/>
      <c r="HB307" s="64"/>
      <c r="HC307" s="64"/>
      <c r="HD307" s="64"/>
      <c r="HE307" s="64"/>
      <c r="HF307" s="64"/>
      <c r="HG307" s="64"/>
      <c r="HH307" s="64"/>
      <c r="HI307" s="64"/>
      <c r="HJ307" s="64"/>
      <c r="HK307" s="64"/>
      <c r="HL307" s="64"/>
      <c r="HM307" s="64"/>
      <c r="HN307" s="64"/>
      <c r="HO307" s="64"/>
      <c r="HP307" s="64"/>
      <c r="HQ307" s="64"/>
      <c r="HR307" s="64"/>
      <c r="HS307" s="64"/>
      <c r="HT307" s="64"/>
      <c r="HU307" s="64"/>
      <c r="HV307" s="64"/>
      <c r="HW307" s="64"/>
      <c r="HX307" s="64"/>
      <c r="HY307" s="64"/>
      <c r="HZ307" s="64"/>
      <c r="IA307" s="64"/>
      <c r="IB307" s="64"/>
      <c r="IC307" s="64"/>
      <c r="ID307" s="64"/>
      <c r="IE307" s="64"/>
      <c r="IF307" s="64"/>
      <c r="IG307" s="64"/>
      <c r="IH307" s="64"/>
      <c r="II307" s="64"/>
      <c r="IJ307" s="64"/>
      <c r="IK307" s="64"/>
      <c r="IL307" s="64"/>
      <c r="IM307" s="64"/>
      <c r="IN307" s="64"/>
      <c r="IO307" s="64"/>
      <c r="IP307" s="64"/>
      <c r="IQ307" s="64"/>
      <c r="IR307" s="64"/>
      <c r="IS307" s="64"/>
      <c r="IT307" s="64"/>
      <c r="IU307" s="64"/>
      <c r="IV307" s="64"/>
      <c r="IW307" s="64"/>
      <c r="IX307" s="64"/>
      <c r="IY307" s="64"/>
      <c r="IZ307" s="64"/>
      <c r="JA307" s="64"/>
      <c r="JB307" s="64"/>
      <c r="JC307" s="64"/>
      <c r="JD307" s="64"/>
      <c r="JE307" s="64"/>
      <c r="JF307" s="64"/>
      <c r="JG307" s="64"/>
      <c r="JH307" s="64"/>
      <c r="JI307" s="64"/>
    </row>
    <row r="308" spans="1:269" s="920" customFormat="1" x14ac:dyDescent="0.2">
      <c r="A308" s="116"/>
      <c r="B308" s="64"/>
      <c r="C308" s="64"/>
      <c r="D308" s="64"/>
      <c r="E308" s="64"/>
      <c r="F308" s="64"/>
      <c r="G308" s="64"/>
      <c r="H308" s="64"/>
      <c r="I308" s="64"/>
      <c r="J308" s="116"/>
      <c r="K308" s="116"/>
      <c r="L308" s="116"/>
      <c r="M308" s="116"/>
      <c r="N308" s="116"/>
      <c r="O308" s="116"/>
      <c r="P308" s="116"/>
      <c r="Q308" s="102"/>
      <c r="R308" s="102"/>
      <c r="S308" s="102"/>
      <c r="T308" s="102"/>
      <c r="U308" s="913"/>
      <c r="V308" s="114"/>
      <c r="W308" s="805"/>
      <c r="X308" s="805"/>
      <c r="Y308" s="805"/>
      <c r="Z308" s="914"/>
      <c r="AA308" s="102"/>
      <c r="AB308" s="102"/>
      <c r="AC308" s="102"/>
      <c r="AD308" s="102"/>
      <c r="AE308" s="102"/>
      <c r="AF308" s="102"/>
      <c r="AG308" s="102"/>
      <c r="AH308" s="102"/>
      <c r="AI308" s="102"/>
      <c r="AJ308" s="906"/>
      <c r="AK308" s="102"/>
      <c r="AL308" s="915"/>
      <c r="AM308" s="915"/>
      <c r="AN308" s="114"/>
      <c r="AO308" s="64"/>
      <c r="AP308" s="64"/>
      <c r="AQ308" s="64"/>
      <c r="AR308" s="916"/>
      <c r="AS308" s="916"/>
      <c r="AT308" s="916"/>
      <c r="AU308" s="917"/>
      <c r="AV308" s="917"/>
      <c r="AW308" s="917"/>
      <c r="AX308" s="918"/>
      <c r="AY308" s="916"/>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917"/>
      <c r="CA308" s="917"/>
      <c r="CB308" s="64"/>
      <c r="CC308" s="919"/>
      <c r="CD308" s="919"/>
      <c r="CE308" s="64"/>
      <c r="CF308" s="528"/>
      <c r="CG308" s="529"/>
      <c r="CH308" s="64"/>
      <c r="CI308" s="64"/>
      <c r="CJ308" s="64"/>
      <c r="CK308" s="64"/>
      <c r="CL308" s="64"/>
      <c r="CM308" s="64"/>
      <c r="CN308" s="64"/>
      <c r="CO308" s="64"/>
      <c r="CP308" s="64"/>
      <c r="CQ308" s="64"/>
      <c r="CR308" s="64"/>
      <c r="CS308" s="64"/>
      <c r="CT308" s="64"/>
      <c r="CU308" s="64"/>
      <c r="CV308" s="64"/>
      <c r="CW308" s="64"/>
      <c r="CX308" s="64"/>
      <c r="CY308" s="1011"/>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c r="FC308" s="64"/>
      <c r="FD308" s="64"/>
      <c r="FE308" s="64"/>
      <c r="FF308" s="64"/>
      <c r="FG308" s="64"/>
      <c r="FH308" s="64"/>
      <c r="FI308" s="64"/>
      <c r="FJ308" s="64"/>
      <c r="FK308" s="64"/>
      <c r="FL308" s="64"/>
      <c r="FM308" s="64"/>
      <c r="FN308" s="64"/>
      <c r="FO308" s="64"/>
      <c r="FP308" s="64"/>
      <c r="FQ308" s="64"/>
      <c r="FR308" s="64"/>
      <c r="FS308" s="64"/>
      <c r="FT308" s="64"/>
      <c r="FU308" s="64"/>
      <c r="FV308" s="64"/>
      <c r="FW308" s="64"/>
      <c r="FX308" s="64"/>
      <c r="FY308" s="64"/>
      <c r="FZ308" s="64"/>
      <c r="GA308" s="64"/>
      <c r="GB308" s="64"/>
      <c r="GC308" s="64"/>
      <c r="GD308" s="64"/>
      <c r="GE308" s="64"/>
      <c r="GF308" s="64"/>
      <c r="GG308" s="64"/>
      <c r="GH308" s="64"/>
      <c r="GI308" s="64"/>
      <c r="GJ308" s="64"/>
      <c r="GK308" s="64"/>
      <c r="GL308" s="64"/>
      <c r="GM308" s="64"/>
      <c r="GN308" s="64"/>
      <c r="GO308" s="64"/>
      <c r="GP308" s="64"/>
      <c r="GQ308" s="64"/>
      <c r="GR308" s="64"/>
      <c r="GS308" s="64"/>
      <c r="GT308" s="64"/>
      <c r="GU308" s="64"/>
      <c r="GV308" s="64"/>
      <c r="GW308" s="64"/>
      <c r="GX308" s="64"/>
      <c r="GY308" s="64"/>
      <c r="GZ308" s="64"/>
      <c r="HA308" s="64"/>
      <c r="HB308" s="64"/>
      <c r="HC308" s="64"/>
      <c r="HD308" s="64"/>
      <c r="HE308" s="64"/>
      <c r="HF308" s="64"/>
      <c r="HG308" s="64"/>
      <c r="HH308" s="64"/>
      <c r="HI308" s="64"/>
      <c r="HJ308" s="64"/>
      <c r="HK308" s="64"/>
      <c r="HL308" s="64"/>
      <c r="HM308" s="64"/>
      <c r="HN308" s="64"/>
      <c r="HO308" s="64"/>
      <c r="HP308" s="64"/>
      <c r="HQ308" s="64"/>
      <c r="HR308" s="64"/>
      <c r="HS308" s="64"/>
      <c r="HT308" s="64"/>
      <c r="HU308" s="64"/>
      <c r="HV308" s="64"/>
      <c r="HW308" s="64"/>
      <c r="HX308" s="64"/>
      <c r="HY308" s="64"/>
      <c r="HZ308" s="64"/>
      <c r="IA308" s="64"/>
      <c r="IB308" s="64"/>
      <c r="IC308" s="64"/>
      <c r="ID308" s="64"/>
      <c r="IE308" s="64"/>
      <c r="IF308" s="64"/>
      <c r="IG308" s="64"/>
      <c r="IH308" s="64"/>
      <c r="II308" s="64"/>
      <c r="IJ308" s="64"/>
      <c r="IK308" s="64"/>
      <c r="IL308" s="64"/>
      <c r="IM308" s="64"/>
      <c r="IN308" s="64"/>
      <c r="IO308" s="64"/>
      <c r="IP308" s="64"/>
      <c r="IQ308" s="64"/>
      <c r="IR308" s="64"/>
      <c r="IS308" s="64"/>
      <c r="IT308" s="64"/>
      <c r="IU308" s="64"/>
      <c r="IV308" s="64"/>
      <c r="IW308" s="64"/>
      <c r="IX308" s="64"/>
      <c r="IY308" s="64"/>
      <c r="IZ308" s="64"/>
      <c r="JA308" s="64"/>
      <c r="JB308" s="64"/>
      <c r="JC308" s="64"/>
      <c r="JD308" s="64"/>
      <c r="JE308" s="64"/>
      <c r="JF308" s="64"/>
      <c r="JG308" s="64"/>
      <c r="JH308" s="64"/>
      <c r="JI308" s="64"/>
    </row>
    <row r="309" spans="1:269" s="920" customFormat="1" x14ac:dyDescent="0.2">
      <c r="A309" s="116"/>
      <c r="B309" s="64"/>
      <c r="C309" s="64"/>
      <c r="D309" s="64"/>
      <c r="E309" s="64"/>
      <c r="F309" s="64"/>
      <c r="G309" s="64"/>
      <c r="H309" s="64"/>
      <c r="I309" s="64"/>
      <c r="J309" s="116"/>
      <c r="K309" s="116"/>
      <c r="L309" s="116"/>
      <c r="M309" s="116"/>
      <c r="N309" s="116"/>
      <c r="O309" s="116"/>
      <c r="P309" s="116"/>
      <c r="Q309" s="102"/>
      <c r="R309" s="102"/>
      <c r="S309" s="102"/>
      <c r="T309" s="102"/>
      <c r="U309" s="913"/>
      <c r="V309" s="114"/>
      <c r="W309" s="805"/>
      <c r="X309" s="805"/>
      <c r="Y309" s="805"/>
      <c r="Z309" s="914"/>
      <c r="AA309" s="102"/>
      <c r="AB309" s="102"/>
      <c r="AC309" s="102"/>
      <c r="AD309" s="102"/>
      <c r="AE309" s="102"/>
      <c r="AF309" s="102"/>
      <c r="AG309" s="102"/>
      <c r="AH309" s="102"/>
      <c r="AI309" s="102"/>
      <c r="AJ309" s="906"/>
      <c r="AK309" s="102"/>
      <c r="AL309" s="915"/>
      <c r="AM309" s="915"/>
      <c r="AN309" s="114"/>
      <c r="AO309" s="64"/>
      <c r="AP309" s="64"/>
      <c r="AQ309" s="64"/>
      <c r="AR309" s="916"/>
      <c r="AS309" s="916"/>
      <c r="AT309" s="916"/>
      <c r="AU309" s="917"/>
      <c r="AV309" s="917"/>
      <c r="AW309" s="917"/>
      <c r="AX309" s="918"/>
      <c r="AY309" s="916"/>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917"/>
      <c r="CA309" s="917"/>
      <c r="CB309" s="64"/>
      <c r="CC309" s="919"/>
      <c r="CD309" s="919"/>
      <c r="CE309" s="64"/>
      <c r="CF309" s="528"/>
      <c r="CG309" s="529"/>
      <c r="CH309" s="64"/>
      <c r="CI309" s="64"/>
      <c r="CJ309" s="64"/>
      <c r="CK309" s="64"/>
      <c r="CL309" s="64"/>
      <c r="CM309" s="64"/>
      <c r="CN309" s="64"/>
      <c r="CO309" s="64"/>
      <c r="CP309" s="64"/>
      <c r="CQ309" s="64"/>
      <c r="CR309" s="64"/>
      <c r="CS309" s="64"/>
      <c r="CT309" s="64"/>
      <c r="CU309" s="64"/>
      <c r="CV309" s="64"/>
      <c r="CW309" s="64"/>
      <c r="CX309" s="64"/>
      <c r="CY309" s="1011"/>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c r="FC309" s="64"/>
      <c r="FD309" s="64"/>
      <c r="FE309" s="64"/>
      <c r="FF309" s="64"/>
      <c r="FG309" s="64"/>
      <c r="FH309" s="64"/>
      <c r="FI309" s="64"/>
      <c r="FJ309" s="64"/>
      <c r="FK309" s="64"/>
      <c r="FL309" s="64"/>
      <c r="FM309" s="64"/>
      <c r="FN309" s="64"/>
      <c r="FO309" s="64"/>
      <c r="FP309" s="64"/>
      <c r="FQ309" s="64"/>
      <c r="FR309" s="64"/>
      <c r="FS309" s="64"/>
      <c r="FT309" s="64"/>
      <c r="FU309" s="64"/>
      <c r="FV309" s="64"/>
      <c r="FW309" s="64"/>
      <c r="FX309" s="64"/>
      <c r="FY309" s="64"/>
      <c r="FZ309" s="64"/>
      <c r="GA309" s="64"/>
      <c r="GB309" s="64"/>
      <c r="GC309" s="64"/>
      <c r="GD309" s="64"/>
      <c r="GE309" s="64"/>
      <c r="GF309" s="64"/>
      <c r="GG309" s="64"/>
      <c r="GH309" s="64"/>
      <c r="GI309" s="64"/>
      <c r="GJ309" s="64"/>
      <c r="GK309" s="64"/>
      <c r="GL309" s="64"/>
      <c r="GM309" s="64"/>
      <c r="GN309" s="64"/>
      <c r="GO309" s="64"/>
      <c r="GP309" s="64"/>
      <c r="GQ309" s="64"/>
      <c r="GR309" s="64"/>
      <c r="GS309" s="64"/>
      <c r="GT309" s="64"/>
      <c r="GU309" s="64"/>
      <c r="GV309" s="64"/>
      <c r="GW309" s="64"/>
      <c r="GX309" s="64"/>
      <c r="GY309" s="64"/>
      <c r="GZ309" s="64"/>
      <c r="HA309" s="64"/>
      <c r="HB309" s="64"/>
      <c r="HC309" s="64"/>
      <c r="HD309" s="64"/>
      <c r="HE309" s="64"/>
      <c r="HF309" s="64"/>
      <c r="HG309" s="64"/>
      <c r="HH309" s="64"/>
      <c r="HI309" s="64"/>
      <c r="HJ309" s="64"/>
      <c r="HK309" s="64"/>
      <c r="HL309" s="64"/>
      <c r="HM309" s="64"/>
      <c r="HN309" s="64"/>
      <c r="HO309" s="64"/>
      <c r="HP309" s="64"/>
      <c r="HQ309" s="64"/>
      <c r="HR309" s="64"/>
      <c r="HS309" s="64"/>
      <c r="HT309" s="64"/>
      <c r="HU309" s="64"/>
      <c r="HV309" s="64"/>
      <c r="HW309" s="64"/>
      <c r="HX309" s="64"/>
      <c r="HY309" s="64"/>
      <c r="HZ309" s="64"/>
      <c r="IA309" s="64"/>
      <c r="IB309" s="64"/>
      <c r="IC309" s="64"/>
      <c r="ID309" s="64"/>
      <c r="IE309" s="64"/>
      <c r="IF309" s="64"/>
      <c r="IG309" s="64"/>
      <c r="IH309" s="64"/>
      <c r="II309" s="64"/>
      <c r="IJ309" s="64"/>
      <c r="IK309" s="64"/>
      <c r="IL309" s="64"/>
      <c r="IM309" s="64"/>
      <c r="IN309" s="64"/>
      <c r="IO309" s="64"/>
      <c r="IP309" s="64"/>
      <c r="IQ309" s="64"/>
      <c r="IR309" s="64"/>
      <c r="IS309" s="64"/>
      <c r="IT309" s="64"/>
      <c r="IU309" s="64"/>
      <c r="IV309" s="64"/>
      <c r="IW309" s="64"/>
      <c r="IX309" s="64"/>
      <c r="IY309" s="64"/>
      <c r="IZ309" s="64"/>
      <c r="JA309" s="64"/>
      <c r="JB309" s="64"/>
      <c r="JC309" s="64"/>
      <c r="JD309" s="64"/>
      <c r="JE309" s="64"/>
      <c r="JF309" s="64"/>
      <c r="JG309" s="64"/>
      <c r="JH309" s="64"/>
      <c r="JI309" s="64"/>
    </row>
    <row r="310" spans="1:269" s="920" customFormat="1" x14ac:dyDescent="0.2">
      <c r="A310" s="116"/>
      <c r="B310" s="64"/>
      <c r="C310" s="64"/>
      <c r="D310" s="64"/>
      <c r="E310" s="64"/>
      <c r="F310" s="64"/>
      <c r="G310" s="64"/>
      <c r="H310" s="64"/>
      <c r="I310" s="64"/>
      <c r="J310" s="116"/>
      <c r="K310" s="116"/>
      <c r="L310" s="116"/>
      <c r="M310" s="116"/>
      <c r="N310" s="116"/>
      <c r="O310" s="116"/>
      <c r="P310" s="116"/>
      <c r="Q310" s="102"/>
      <c r="R310" s="102"/>
      <c r="S310" s="102"/>
      <c r="T310" s="102"/>
      <c r="U310" s="913"/>
      <c r="V310" s="114"/>
      <c r="W310" s="805"/>
      <c r="X310" s="805"/>
      <c r="Y310" s="805"/>
      <c r="Z310" s="914"/>
      <c r="AA310" s="102"/>
      <c r="AB310" s="102"/>
      <c r="AC310" s="102"/>
      <c r="AD310" s="102"/>
      <c r="AE310" s="102"/>
      <c r="AF310" s="102"/>
      <c r="AG310" s="102"/>
      <c r="AH310" s="102"/>
      <c r="AI310" s="102"/>
      <c r="AJ310" s="906"/>
      <c r="AK310" s="102"/>
      <c r="AL310" s="915"/>
      <c r="AM310" s="915"/>
      <c r="AN310" s="114"/>
      <c r="AO310" s="64"/>
      <c r="AP310" s="64"/>
      <c r="AQ310" s="64"/>
      <c r="AR310" s="916"/>
      <c r="AS310" s="916"/>
      <c r="AT310" s="916"/>
      <c r="AU310" s="917"/>
      <c r="AV310" s="917"/>
      <c r="AW310" s="917"/>
      <c r="AX310" s="918"/>
      <c r="AY310" s="916"/>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917"/>
      <c r="CA310" s="917"/>
      <c r="CB310" s="64"/>
      <c r="CC310" s="919"/>
      <c r="CD310" s="919"/>
      <c r="CE310" s="64"/>
      <c r="CF310" s="528"/>
      <c r="CG310" s="529"/>
      <c r="CH310" s="64"/>
      <c r="CI310" s="64"/>
      <c r="CJ310" s="64"/>
      <c r="CK310" s="64"/>
      <c r="CL310" s="64"/>
      <c r="CM310" s="64"/>
      <c r="CN310" s="64"/>
      <c r="CO310" s="64"/>
      <c r="CP310" s="64"/>
      <c r="CQ310" s="64"/>
      <c r="CR310" s="64"/>
      <c r="CS310" s="64"/>
      <c r="CT310" s="64"/>
      <c r="CU310" s="64"/>
      <c r="CV310" s="64"/>
      <c r="CW310" s="64"/>
      <c r="CX310" s="64"/>
      <c r="CY310" s="1011"/>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c r="FC310" s="64"/>
      <c r="FD310" s="64"/>
      <c r="FE310" s="64"/>
      <c r="FF310" s="64"/>
      <c r="FG310" s="64"/>
      <c r="FH310" s="64"/>
      <c r="FI310" s="64"/>
      <c r="FJ310" s="64"/>
      <c r="FK310" s="64"/>
      <c r="FL310" s="64"/>
      <c r="FM310" s="64"/>
      <c r="FN310" s="64"/>
      <c r="FO310" s="64"/>
      <c r="FP310" s="64"/>
      <c r="FQ310" s="64"/>
      <c r="FR310" s="64"/>
      <c r="FS310" s="64"/>
      <c r="FT310" s="64"/>
      <c r="FU310" s="64"/>
      <c r="FV310" s="64"/>
      <c r="FW310" s="64"/>
      <c r="FX310" s="64"/>
      <c r="FY310" s="64"/>
      <c r="FZ310" s="64"/>
      <c r="GA310" s="64"/>
      <c r="GB310" s="64"/>
      <c r="GC310" s="64"/>
      <c r="GD310" s="64"/>
      <c r="GE310" s="64"/>
      <c r="GF310" s="64"/>
      <c r="GG310" s="64"/>
      <c r="GH310" s="64"/>
      <c r="GI310" s="64"/>
      <c r="GJ310" s="64"/>
      <c r="GK310" s="64"/>
      <c r="GL310" s="64"/>
      <c r="GM310" s="64"/>
      <c r="GN310" s="64"/>
      <c r="GO310" s="64"/>
      <c r="GP310" s="64"/>
      <c r="GQ310" s="64"/>
      <c r="GR310" s="64"/>
      <c r="GS310" s="64"/>
      <c r="GT310" s="64"/>
      <c r="GU310" s="64"/>
      <c r="GV310" s="64"/>
      <c r="GW310" s="64"/>
      <c r="GX310" s="64"/>
      <c r="GY310" s="64"/>
      <c r="GZ310" s="64"/>
      <c r="HA310" s="64"/>
      <c r="HB310" s="64"/>
      <c r="HC310" s="64"/>
      <c r="HD310" s="64"/>
      <c r="HE310" s="64"/>
      <c r="HF310" s="64"/>
      <c r="HG310" s="64"/>
      <c r="HH310" s="64"/>
      <c r="HI310" s="64"/>
      <c r="HJ310" s="64"/>
      <c r="HK310" s="64"/>
      <c r="HL310" s="64"/>
      <c r="HM310" s="64"/>
      <c r="HN310" s="64"/>
      <c r="HO310" s="64"/>
      <c r="HP310" s="64"/>
      <c r="HQ310" s="64"/>
      <c r="HR310" s="64"/>
      <c r="HS310" s="64"/>
      <c r="HT310" s="64"/>
      <c r="HU310" s="64"/>
      <c r="HV310" s="64"/>
      <c r="HW310" s="64"/>
      <c r="HX310" s="64"/>
      <c r="HY310" s="64"/>
      <c r="HZ310" s="64"/>
      <c r="IA310" s="64"/>
      <c r="IB310" s="64"/>
      <c r="IC310" s="64"/>
      <c r="ID310" s="64"/>
      <c r="IE310" s="64"/>
      <c r="IF310" s="64"/>
      <c r="IG310" s="64"/>
      <c r="IH310" s="64"/>
      <c r="II310" s="64"/>
      <c r="IJ310" s="64"/>
      <c r="IK310" s="64"/>
      <c r="IL310" s="64"/>
      <c r="IM310" s="64"/>
      <c r="IN310" s="64"/>
      <c r="IO310" s="64"/>
      <c r="IP310" s="64"/>
      <c r="IQ310" s="64"/>
      <c r="IR310" s="64"/>
      <c r="IS310" s="64"/>
      <c r="IT310" s="64"/>
      <c r="IU310" s="64"/>
      <c r="IV310" s="64"/>
      <c r="IW310" s="64"/>
      <c r="IX310" s="64"/>
      <c r="IY310" s="64"/>
      <c r="IZ310" s="64"/>
      <c r="JA310" s="64"/>
      <c r="JB310" s="64"/>
      <c r="JC310" s="64"/>
      <c r="JD310" s="64"/>
      <c r="JE310" s="64"/>
      <c r="JF310" s="64"/>
      <c r="JG310" s="64"/>
      <c r="JH310" s="64"/>
      <c r="JI310" s="64"/>
    </row>
    <row r="311" spans="1:269" s="920" customFormat="1" x14ac:dyDescent="0.2">
      <c r="A311" s="116"/>
      <c r="B311" s="64"/>
      <c r="C311" s="64"/>
      <c r="D311" s="64"/>
      <c r="E311" s="64"/>
      <c r="F311" s="64"/>
      <c r="G311" s="64"/>
      <c r="H311" s="64"/>
      <c r="I311" s="64"/>
      <c r="J311" s="116"/>
      <c r="K311" s="116"/>
      <c r="L311" s="116"/>
      <c r="M311" s="116"/>
      <c r="N311" s="116"/>
      <c r="O311" s="116"/>
      <c r="P311" s="116"/>
      <c r="Q311" s="102"/>
      <c r="R311" s="102"/>
      <c r="S311" s="102"/>
      <c r="T311" s="102"/>
      <c r="U311" s="913"/>
      <c r="V311" s="114"/>
      <c r="W311" s="805"/>
      <c r="X311" s="805"/>
      <c r="Y311" s="805"/>
      <c r="Z311" s="914"/>
      <c r="AA311" s="102"/>
      <c r="AB311" s="102"/>
      <c r="AC311" s="102"/>
      <c r="AD311" s="102"/>
      <c r="AE311" s="102"/>
      <c r="AF311" s="102"/>
      <c r="AG311" s="102"/>
      <c r="AH311" s="102"/>
      <c r="AI311" s="102"/>
      <c r="AJ311" s="906"/>
      <c r="AK311" s="102"/>
      <c r="AL311" s="915"/>
      <c r="AM311" s="915"/>
      <c r="AN311" s="114"/>
      <c r="AO311" s="64"/>
      <c r="AP311" s="64"/>
      <c r="AQ311" s="64"/>
      <c r="AR311" s="916"/>
      <c r="AS311" s="916"/>
      <c r="AT311" s="916"/>
      <c r="AU311" s="917"/>
      <c r="AV311" s="917"/>
      <c r="AW311" s="917"/>
      <c r="AX311" s="918"/>
      <c r="AY311" s="916"/>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917"/>
      <c r="CA311" s="917"/>
      <c r="CB311" s="64"/>
      <c r="CC311" s="919"/>
      <c r="CD311" s="919"/>
      <c r="CE311" s="64"/>
      <c r="CF311" s="528"/>
      <c r="CG311" s="529"/>
      <c r="CH311" s="64"/>
      <c r="CI311" s="64"/>
      <c r="CJ311" s="64"/>
      <c r="CK311" s="64"/>
      <c r="CL311" s="64"/>
      <c r="CM311" s="64"/>
      <c r="CN311" s="64"/>
      <c r="CO311" s="64"/>
      <c r="CP311" s="64"/>
      <c r="CQ311" s="64"/>
      <c r="CR311" s="64"/>
      <c r="CS311" s="64"/>
      <c r="CT311" s="64"/>
      <c r="CU311" s="64"/>
      <c r="CV311" s="64"/>
      <c r="CW311" s="64"/>
      <c r="CX311" s="64"/>
      <c r="CY311" s="1011"/>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c r="FC311" s="64"/>
      <c r="FD311" s="64"/>
      <c r="FE311" s="64"/>
      <c r="FF311" s="64"/>
      <c r="FG311" s="64"/>
      <c r="FH311" s="64"/>
      <c r="FI311" s="64"/>
      <c r="FJ311" s="64"/>
      <c r="FK311" s="64"/>
      <c r="FL311" s="64"/>
      <c r="FM311" s="64"/>
      <c r="FN311" s="64"/>
      <c r="FO311" s="64"/>
      <c r="FP311" s="64"/>
      <c r="FQ311" s="64"/>
      <c r="FR311" s="64"/>
      <c r="FS311" s="64"/>
      <c r="FT311" s="64"/>
      <c r="FU311" s="64"/>
      <c r="FV311" s="64"/>
      <c r="FW311" s="64"/>
      <c r="FX311" s="64"/>
      <c r="FY311" s="64"/>
      <c r="FZ311" s="64"/>
      <c r="GA311" s="64"/>
      <c r="GB311" s="64"/>
      <c r="GC311" s="64"/>
      <c r="GD311" s="64"/>
      <c r="GE311" s="64"/>
      <c r="GF311" s="64"/>
      <c r="GG311" s="64"/>
      <c r="GH311" s="64"/>
      <c r="GI311" s="64"/>
      <c r="GJ311" s="64"/>
      <c r="GK311" s="64"/>
      <c r="GL311" s="64"/>
      <c r="GM311" s="64"/>
      <c r="GN311" s="64"/>
      <c r="GO311" s="64"/>
      <c r="GP311" s="64"/>
      <c r="GQ311" s="64"/>
      <c r="GR311" s="64"/>
      <c r="GS311" s="64"/>
      <c r="GT311" s="64"/>
      <c r="GU311" s="64"/>
      <c r="GV311" s="64"/>
      <c r="GW311" s="64"/>
      <c r="GX311" s="64"/>
      <c r="GY311" s="64"/>
      <c r="GZ311" s="64"/>
      <c r="HA311" s="64"/>
      <c r="HB311" s="64"/>
      <c r="HC311" s="64"/>
      <c r="HD311" s="64"/>
      <c r="HE311" s="64"/>
      <c r="HF311" s="64"/>
      <c r="HG311" s="64"/>
      <c r="HH311" s="64"/>
      <c r="HI311" s="64"/>
      <c r="HJ311" s="64"/>
      <c r="HK311" s="64"/>
      <c r="HL311" s="64"/>
      <c r="HM311" s="64"/>
      <c r="HN311" s="64"/>
      <c r="HO311" s="64"/>
      <c r="HP311" s="64"/>
      <c r="HQ311" s="64"/>
      <c r="HR311" s="64"/>
      <c r="HS311" s="64"/>
      <c r="HT311" s="64"/>
      <c r="HU311" s="64"/>
      <c r="HV311" s="64"/>
      <c r="HW311" s="64"/>
      <c r="HX311" s="64"/>
      <c r="HY311" s="64"/>
      <c r="HZ311" s="64"/>
      <c r="IA311" s="64"/>
      <c r="IB311" s="64"/>
      <c r="IC311" s="64"/>
      <c r="ID311" s="64"/>
      <c r="IE311" s="64"/>
      <c r="IF311" s="64"/>
      <c r="IG311" s="64"/>
      <c r="IH311" s="64"/>
      <c r="II311" s="64"/>
      <c r="IJ311" s="64"/>
      <c r="IK311" s="64"/>
      <c r="IL311" s="64"/>
      <c r="IM311" s="64"/>
      <c r="IN311" s="64"/>
      <c r="IO311" s="64"/>
      <c r="IP311" s="64"/>
      <c r="IQ311" s="64"/>
      <c r="IR311" s="64"/>
      <c r="IS311" s="64"/>
      <c r="IT311" s="64"/>
      <c r="IU311" s="64"/>
      <c r="IV311" s="64"/>
      <c r="IW311" s="64"/>
      <c r="IX311" s="64"/>
      <c r="IY311" s="64"/>
      <c r="IZ311" s="64"/>
      <c r="JA311" s="64"/>
      <c r="JB311" s="64"/>
      <c r="JC311" s="64"/>
      <c r="JD311" s="64"/>
      <c r="JE311" s="64"/>
      <c r="JF311" s="64"/>
      <c r="JG311" s="64"/>
      <c r="JH311" s="64"/>
      <c r="JI311" s="64"/>
    </row>
    <row r="312" spans="1:269" s="920" customFormat="1" x14ac:dyDescent="0.2">
      <c r="A312" s="116"/>
      <c r="B312" s="64"/>
      <c r="C312" s="64"/>
      <c r="D312" s="64"/>
      <c r="E312" s="64"/>
      <c r="F312" s="64"/>
      <c r="G312" s="64"/>
      <c r="H312" s="64"/>
      <c r="I312" s="64"/>
      <c r="J312" s="116"/>
      <c r="K312" s="116"/>
      <c r="L312" s="116"/>
      <c r="M312" s="116"/>
      <c r="N312" s="116"/>
      <c r="O312" s="116"/>
      <c r="P312" s="116"/>
      <c r="Q312" s="102"/>
      <c r="R312" s="102"/>
      <c r="S312" s="102"/>
      <c r="T312" s="102"/>
      <c r="U312" s="913"/>
      <c r="V312" s="114"/>
      <c r="W312" s="805"/>
      <c r="X312" s="805"/>
      <c r="Y312" s="805"/>
      <c r="Z312" s="914"/>
      <c r="AA312" s="102"/>
      <c r="AB312" s="102"/>
      <c r="AC312" s="102"/>
      <c r="AD312" s="102"/>
      <c r="AE312" s="102"/>
      <c r="AF312" s="102"/>
      <c r="AG312" s="102"/>
      <c r="AH312" s="102"/>
      <c r="AI312" s="102"/>
      <c r="AJ312" s="906"/>
      <c r="AK312" s="102"/>
      <c r="AL312" s="915"/>
      <c r="AM312" s="915"/>
      <c r="AN312" s="114"/>
      <c r="AO312" s="64"/>
      <c r="AP312" s="64"/>
      <c r="AQ312" s="64"/>
      <c r="AR312" s="916"/>
      <c r="AS312" s="916"/>
      <c r="AT312" s="916"/>
      <c r="AU312" s="917"/>
      <c r="AV312" s="917"/>
      <c r="AW312" s="917"/>
      <c r="AX312" s="918"/>
      <c r="AY312" s="916"/>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917"/>
      <c r="CA312" s="917"/>
      <c r="CB312" s="64"/>
      <c r="CC312" s="919"/>
      <c r="CD312" s="919"/>
      <c r="CE312" s="64"/>
      <c r="CF312" s="528"/>
      <c r="CG312" s="529"/>
      <c r="CH312" s="64"/>
      <c r="CI312" s="64"/>
      <c r="CJ312" s="64"/>
      <c r="CK312" s="64"/>
      <c r="CL312" s="64"/>
      <c r="CM312" s="64"/>
      <c r="CN312" s="64"/>
      <c r="CO312" s="64"/>
      <c r="CP312" s="64"/>
      <c r="CQ312" s="64"/>
      <c r="CR312" s="64"/>
      <c r="CS312" s="64"/>
      <c r="CT312" s="64"/>
      <c r="CU312" s="64"/>
      <c r="CV312" s="64"/>
      <c r="CW312" s="64"/>
      <c r="CX312" s="64"/>
      <c r="CY312" s="1011"/>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c r="FC312" s="64"/>
      <c r="FD312" s="64"/>
      <c r="FE312" s="64"/>
      <c r="FF312" s="64"/>
      <c r="FG312" s="64"/>
      <c r="FH312" s="64"/>
      <c r="FI312" s="64"/>
      <c r="FJ312" s="64"/>
      <c r="FK312" s="64"/>
      <c r="FL312" s="64"/>
      <c r="FM312" s="64"/>
      <c r="FN312" s="64"/>
      <c r="FO312" s="64"/>
      <c r="FP312" s="64"/>
      <c r="FQ312" s="64"/>
      <c r="FR312" s="64"/>
      <c r="FS312" s="64"/>
      <c r="FT312" s="64"/>
      <c r="FU312" s="64"/>
      <c r="FV312" s="64"/>
      <c r="FW312" s="64"/>
      <c r="FX312" s="64"/>
      <c r="FY312" s="64"/>
      <c r="FZ312" s="64"/>
      <c r="GA312" s="64"/>
      <c r="GB312" s="64"/>
      <c r="GC312" s="64"/>
      <c r="GD312" s="64"/>
      <c r="GE312" s="64"/>
      <c r="GF312" s="64"/>
      <c r="GG312" s="64"/>
      <c r="GH312" s="64"/>
      <c r="GI312" s="64"/>
      <c r="GJ312" s="64"/>
      <c r="GK312" s="64"/>
      <c r="GL312" s="64"/>
      <c r="GM312" s="64"/>
      <c r="GN312" s="64"/>
      <c r="GO312" s="64"/>
      <c r="GP312" s="64"/>
      <c r="GQ312" s="64"/>
      <c r="GR312" s="64"/>
      <c r="GS312" s="64"/>
      <c r="GT312" s="64"/>
      <c r="GU312" s="64"/>
      <c r="GV312" s="64"/>
      <c r="GW312" s="64"/>
      <c r="GX312" s="64"/>
      <c r="GY312" s="64"/>
      <c r="GZ312" s="64"/>
      <c r="HA312" s="64"/>
      <c r="HB312" s="64"/>
      <c r="HC312" s="64"/>
      <c r="HD312" s="64"/>
      <c r="HE312" s="64"/>
      <c r="HF312" s="64"/>
      <c r="HG312" s="64"/>
      <c r="HH312" s="64"/>
      <c r="HI312" s="64"/>
      <c r="HJ312" s="64"/>
      <c r="HK312" s="64"/>
      <c r="HL312" s="64"/>
      <c r="HM312" s="64"/>
      <c r="HN312" s="64"/>
      <c r="HO312" s="64"/>
      <c r="HP312" s="64"/>
      <c r="HQ312" s="64"/>
      <c r="HR312" s="64"/>
      <c r="HS312" s="64"/>
      <c r="HT312" s="64"/>
      <c r="HU312" s="64"/>
      <c r="HV312" s="64"/>
      <c r="HW312" s="64"/>
      <c r="HX312" s="64"/>
      <c r="HY312" s="64"/>
      <c r="HZ312" s="64"/>
      <c r="IA312" s="64"/>
      <c r="IB312" s="64"/>
      <c r="IC312" s="64"/>
      <c r="ID312" s="64"/>
      <c r="IE312" s="64"/>
      <c r="IF312" s="64"/>
      <c r="IG312" s="64"/>
      <c r="IH312" s="64"/>
      <c r="II312" s="64"/>
      <c r="IJ312" s="64"/>
      <c r="IK312" s="64"/>
      <c r="IL312" s="64"/>
      <c r="IM312" s="64"/>
      <c r="IN312" s="64"/>
      <c r="IO312" s="64"/>
      <c r="IP312" s="64"/>
      <c r="IQ312" s="64"/>
      <c r="IR312" s="64"/>
      <c r="IS312" s="64"/>
      <c r="IT312" s="64"/>
      <c r="IU312" s="64"/>
      <c r="IV312" s="64"/>
      <c r="IW312" s="64"/>
      <c r="IX312" s="64"/>
      <c r="IY312" s="64"/>
      <c r="IZ312" s="64"/>
      <c r="JA312" s="64"/>
      <c r="JB312" s="64"/>
      <c r="JC312" s="64"/>
      <c r="JD312" s="64"/>
      <c r="JE312" s="64"/>
      <c r="JF312" s="64"/>
      <c r="JG312" s="64"/>
      <c r="JH312" s="64"/>
      <c r="JI312" s="64"/>
    </row>
    <row r="313" spans="1:269" s="920" customFormat="1" x14ac:dyDescent="0.2">
      <c r="A313" s="116"/>
      <c r="B313" s="64"/>
      <c r="C313" s="64"/>
      <c r="D313" s="64"/>
      <c r="E313" s="64"/>
      <c r="F313" s="64"/>
      <c r="G313" s="64"/>
      <c r="H313" s="64"/>
      <c r="I313" s="64"/>
      <c r="J313" s="116"/>
      <c r="K313" s="116"/>
      <c r="L313" s="116"/>
      <c r="M313" s="116"/>
      <c r="N313" s="116"/>
      <c r="O313" s="116"/>
      <c r="P313" s="116"/>
      <c r="Q313" s="102"/>
      <c r="R313" s="102"/>
      <c r="S313" s="102"/>
      <c r="T313" s="102"/>
      <c r="U313" s="913"/>
      <c r="V313" s="114"/>
      <c r="W313" s="805"/>
      <c r="X313" s="805"/>
      <c r="Y313" s="805"/>
      <c r="Z313" s="914"/>
      <c r="AA313" s="102"/>
      <c r="AB313" s="102"/>
      <c r="AC313" s="102"/>
      <c r="AD313" s="102"/>
      <c r="AE313" s="102"/>
      <c r="AF313" s="102"/>
      <c r="AG313" s="102"/>
      <c r="AH313" s="102"/>
      <c r="AI313" s="102"/>
      <c r="AJ313" s="906"/>
      <c r="AK313" s="102"/>
      <c r="AL313" s="915"/>
      <c r="AM313" s="915"/>
      <c r="AN313" s="114"/>
      <c r="AO313" s="64"/>
      <c r="AP313" s="64"/>
      <c r="AQ313" s="64"/>
      <c r="AR313" s="916"/>
      <c r="AS313" s="916"/>
      <c r="AT313" s="916"/>
      <c r="AU313" s="917"/>
      <c r="AV313" s="917"/>
      <c r="AW313" s="917"/>
      <c r="AX313" s="918"/>
      <c r="AY313" s="916"/>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917"/>
      <c r="CA313" s="917"/>
      <c r="CB313" s="64"/>
      <c r="CC313" s="919"/>
      <c r="CD313" s="919"/>
      <c r="CE313" s="64"/>
      <c r="CF313" s="528"/>
      <c r="CG313" s="529"/>
      <c r="CH313" s="64"/>
      <c r="CI313" s="64"/>
      <c r="CJ313" s="64"/>
      <c r="CK313" s="64"/>
      <c r="CL313" s="64"/>
      <c r="CM313" s="64"/>
      <c r="CN313" s="64"/>
      <c r="CO313" s="64"/>
      <c r="CP313" s="64"/>
      <c r="CQ313" s="64"/>
      <c r="CR313" s="64"/>
      <c r="CS313" s="64"/>
      <c r="CT313" s="64"/>
      <c r="CU313" s="64"/>
      <c r="CV313" s="64"/>
      <c r="CW313" s="64"/>
      <c r="CX313" s="64"/>
      <c r="CY313" s="1011"/>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c r="FC313" s="64"/>
      <c r="FD313" s="64"/>
      <c r="FE313" s="64"/>
      <c r="FF313" s="64"/>
      <c r="FG313" s="64"/>
      <c r="FH313" s="64"/>
      <c r="FI313" s="64"/>
      <c r="FJ313" s="64"/>
      <c r="FK313" s="64"/>
      <c r="FL313" s="64"/>
      <c r="FM313" s="64"/>
      <c r="FN313" s="64"/>
      <c r="FO313" s="64"/>
      <c r="FP313" s="64"/>
      <c r="FQ313" s="64"/>
      <c r="FR313" s="64"/>
      <c r="FS313" s="64"/>
      <c r="FT313" s="64"/>
      <c r="FU313" s="64"/>
      <c r="FV313" s="64"/>
      <c r="FW313" s="64"/>
      <c r="FX313" s="64"/>
      <c r="FY313" s="64"/>
      <c r="FZ313" s="64"/>
      <c r="GA313" s="64"/>
      <c r="GB313" s="64"/>
      <c r="GC313" s="64"/>
      <c r="GD313" s="64"/>
      <c r="GE313" s="64"/>
      <c r="GF313" s="64"/>
      <c r="GG313" s="64"/>
      <c r="GH313" s="64"/>
      <c r="GI313" s="64"/>
      <c r="GJ313" s="64"/>
      <c r="GK313" s="64"/>
      <c r="GL313" s="64"/>
      <c r="GM313" s="64"/>
      <c r="GN313" s="64"/>
      <c r="GO313" s="64"/>
      <c r="GP313" s="64"/>
      <c r="GQ313" s="64"/>
      <c r="GR313" s="64"/>
      <c r="GS313" s="64"/>
      <c r="GT313" s="64"/>
      <c r="GU313" s="64"/>
      <c r="GV313" s="64"/>
      <c r="GW313" s="64"/>
      <c r="GX313" s="64"/>
      <c r="GY313" s="64"/>
      <c r="GZ313" s="64"/>
      <c r="HA313" s="64"/>
      <c r="HB313" s="64"/>
      <c r="HC313" s="64"/>
      <c r="HD313" s="64"/>
      <c r="HE313" s="64"/>
      <c r="HF313" s="64"/>
      <c r="HG313" s="64"/>
      <c r="HH313" s="64"/>
      <c r="HI313" s="64"/>
      <c r="HJ313" s="64"/>
      <c r="HK313" s="64"/>
      <c r="HL313" s="64"/>
      <c r="HM313" s="64"/>
      <c r="HN313" s="64"/>
      <c r="HO313" s="64"/>
      <c r="HP313" s="64"/>
      <c r="HQ313" s="64"/>
      <c r="HR313" s="64"/>
      <c r="HS313" s="64"/>
      <c r="HT313" s="64"/>
      <c r="HU313" s="64"/>
      <c r="HV313" s="64"/>
      <c r="HW313" s="64"/>
      <c r="HX313" s="64"/>
      <c r="HY313" s="64"/>
      <c r="HZ313" s="64"/>
      <c r="IA313" s="64"/>
      <c r="IB313" s="64"/>
      <c r="IC313" s="64"/>
      <c r="ID313" s="64"/>
      <c r="IE313" s="64"/>
      <c r="IF313" s="64"/>
      <c r="IG313" s="64"/>
      <c r="IH313" s="64"/>
      <c r="II313" s="64"/>
      <c r="IJ313" s="64"/>
      <c r="IK313" s="64"/>
      <c r="IL313" s="64"/>
      <c r="IM313" s="64"/>
      <c r="IN313" s="64"/>
      <c r="IO313" s="64"/>
      <c r="IP313" s="64"/>
      <c r="IQ313" s="64"/>
      <c r="IR313" s="64"/>
      <c r="IS313" s="64"/>
      <c r="IT313" s="64"/>
      <c r="IU313" s="64"/>
      <c r="IV313" s="64"/>
      <c r="IW313" s="64"/>
      <c r="IX313" s="64"/>
      <c r="IY313" s="64"/>
      <c r="IZ313" s="64"/>
      <c r="JA313" s="64"/>
      <c r="JB313" s="64"/>
      <c r="JC313" s="64"/>
      <c r="JD313" s="64"/>
      <c r="JE313" s="64"/>
      <c r="JF313" s="64"/>
      <c r="JG313" s="64"/>
      <c r="JH313" s="64"/>
      <c r="JI313" s="64"/>
    </row>
    <row r="314" spans="1:269" s="920" customFormat="1" x14ac:dyDescent="0.2">
      <c r="A314" s="116"/>
      <c r="B314" s="64"/>
      <c r="C314" s="64"/>
      <c r="D314" s="64"/>
      <c r="E314" s="64"/>
      <c r="F314" s="64"/>
      <c r="G314" s="64"/>
      <c r="H314" s="64"/>
      <c r="I314" s="64"/>
      <c r="J314" s="116"/>
      <c r="K314" s="116"/>
      <c r="L314" s="116"/>
      <c r="M314" s="116"/>
      <c r="N314" s="116"/>
      <c r="O314" s="116"/>
      <c r="P314" s="116"/>
      <c r="Q314" s="102"/>
      <c r="R314" s="102"/>
      <c r="S314" s="102"/>
      <c r="T314" s="102"/>
      <c r="U314" s="913"/>
      <c r="V314" s="114"/>
      <c r="W314" s="805"/>
      <c r="X314" s="805"/>
      <c r="Y314" s="805"/>
      <c r="Z314" s="914"/>
      <c r="AA314" s="102"/>
      <c r="AB314" s="102"/>
      <c r="AC314" s="102"/>
      <c r="AD314" s="102"/>
      <c r="AE314" s="102"/>
      <c r="AF314" s="102"/>
      <c r="AG314" s="102"/>
      <c r="AH314" s="102"/>
      <c r="AI314" s="102"/>
      <c r="AJ314" s="906"/>
      <c r="AK314" s="102"/>
      <c r="AL314" s="915"/>
      <c r="AM314" s="915"/>
      <c r="AN314" s="114"/>
      <c r="AO314" s="64"/>
      <c r="AP314" s="64"/>
      <c r="AQ314" s="64"/>
      <c r="AR314" s="916"/>
      <c r="AS314" s="916"/>
      <c r="AT314" s="916"/>
      <c r="AU314" s="917"/>
      <c r="AV314" s="917"/>
      <c r="AW314" s="917"/>
      <c r="AX314" s="918"/>
      <c r="AY314" s="916"/>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917"/>
      <c r="CA314" s="917"/>
      <c r="CB314" s="64"/>
      <c r="CC314" s="919"/>
      <c r="CD314" s="919"/>
      <c r="CE314" s="64"/>
      <c r="CF314" s="528"/>
      <c r="CG314" s="529"/>
      <c r="CH314" s="64"/>
      <c r="CI314" s="64"/>
      <c r="CJ314" s="64"/>
      <c r="CK314" s="64"/>
      <c r="CL314" s="64"/>
      <c r="CM314" s="64"/>
      <c r="CN314" s="64"/>
      <c r="CO314" s="64"/>
      <c r="CP314" s="64"/>
      <c r="CQ314" s="64"/>
      <c r="CR314" s="64"/>
      <c r="CS314" s="64"/>
      <c r="CT314" s="64"/>
      <c r="CU314" s="64"/>
      <c r="CV314" s="64"/>
      <c r="CW314" s="64"/>
      <c r="CX314" s="64"/>
      <c r="CY314" s="1011"/>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c r="FC314" s="64"/>
      <c r="FD314" s="64"/>
      <c r="FE314" s="64"/>
      <c r="FF314" s="64"/>
      <c r="FG314" s="64"/>
      <c r="FH314" s="64"/>
      <c r="FI314" s="64"/>
      <c r="FJ314" s="64"/>
      <c r="FK314" s="64"/>
      <c r="FL314" s="64"/>
      <c r="FM314" s="64"/>
      <c r="FN314" s="64"/>
      <c r="FO314" s="64"/>
      <c r="FP314" s="64"/>
      <c r="FQ314" s="64"/>
      <c r="FR314" s="64"/>
      <c r="FS314" s="64"/>
      <c r="FT314" s="64"/>
      <c r="FU314" s="64"/>
      <c r="FV314" s="64"/>
      <c r="FW314" s="64"/>
      <c r="FX314" s="64"/>
      <c r="FY314" s="64"/>
      <c r="FZ314" s="64"/>
      <c r="GA314" s="64"/>
      <c r="GB314" s="64"/>
      <c r="GC314" s="64"/>
      <c r="GD314" s="64"/>
      <c r="GE314" s="64"/>
      <c r="GF314" s="64"/>
      <c r="GG314" s="64"/>
      <c r="GH314" s="64"/>
      <c r="GI314" s="64"/>
      <c r="GJ314" s="64"/>
      <c r="GK314" s="64"/>
      <c r="GL314" s="64"/>
      <c r="GM314" s="64"/>
      <c r="GN314" s="64"/>
      <c r="GO314" s="64"/>
      <c r="GP314" s="64"/>
      <c r="GQ314" s="64"/>
      <c r="GR314" s="64"/>
      <c r="GS314" s="64"/>
      <c r="GT314" s="64"/>
      <c r="GU314" s="64"/>
      <c r="GV314" s="64"/>
      <c r="GW314" s="64"/>
      <c r="GX314" s="64"/>
      <c r="GY314" s="64"/>
      <c r="GZ314" s="64"/>
      <c r="HA314" s="64"/>
      <c r="HB314" s="64"/>
      <c r="HC314" s="64"/>
      <c r="HD314" s="64"/>
      <c r="HE314" s="64"/>
      <c r="HF314" s="64"/>
      <c r="HG314" s="64"/>
      <c r="HH314" s="64"/>
      <c r="HI314" s="64"/>
      <c r="HJ314" s="64"/>
      <c r="HK314" s="64"/>
      <c r="HL314" s="64"/>
      <c r="HM314" s="64"/>
      <c r="HN314" s="64"/>
      <c r="HO314" s="64"/>
      <c r="HP314" s="64"/>
      <c r="HQ314" s="64"/>
      <c r="HR314" s="64"/>
      <c r="HS314" s="64"/>
      <c r="HT314" s="64"/>
      <c r="HU314" s="64"/>
      <c r="HV314" s="64"/>
      <c r="HW314" s="64"/>
      <c r="HX314" s="64"/>
      <c r="HY314" s="64"/>
      <c r="HZ314" s="64"/>
      <c r="IA314" s="64"/>
      <c r="IB314" s="64"/>
      <c r="IC314" s="64"/>
      <c r="ID314" s="64"/>
      <c r="IE314" s="64"/>
      <c r="IF314" s="64"/>
      <c r="IG314" s="64"/>
      <c r="IH314" s="64"/>
      <c r="II314" s="64"/>
      <c r="IJ314" s="64"/>
      <c r="IK314" s="64"/>
      <c r="IL314" s="64"/>
      <c r="IM314" s="64"/>
      <c r="IN314" s="64"/>
      <c r="IO314" s="64"/>
      <c r="IP314" s="64"/>
      <c r="IQ314" s="64"/>
      <c r="IR314" s="64"/>
      <c r="IS314" s="64"/>
      <c r="IT314" s="64"/>
      <c r="IU314" s="64"/>
      <c r="IV314" s="64"/>
      <c r="IW314" s="64"/>
      <c r="IX314" s="64"/>
      <c r="IY314" s="64"/>
      <c r="IZ314" s="64"/>
      <c r="JA314" s="64"/>
      <c r="JB314" s="64"/>
      <c r="JC314" s="64"/>
      <c r="JD314" s="64"/>
      <c r="JE314" s="64"/>
      <c r="JF314" s="64"/>
      <c r="JG314" s="64"/>
      <c r="JH314" s="64"/>
      <c r="JI314" s="64"/>
    </row>
    <row r="315" spans="1:269" s="920" customFormat="1" x14ac:dyDescent="0.2">
      <c r="A315" s="116"/>
      <c r="B315" s="64"/>
      <c r="C315" s="64"/>
      <c r="D315" s="64"/>
      <c r="E315" s="64"/>
      <c r="F315" s="64"/>
      <c r="G315" s="64"/>
      <c r="H315" s="64"/>
      <c r="I315" s="64"/>
      <c r="J315" s="116"/>
      <c r="K315" s="116"/>
      <c r="L315" s="116"/>
      <c r="M315" s="116"/>
      <c r="N315" s="116"/>
      <c r="O315" s="116"/>
      <c r="P315" s="116"/>
      <c r="Q315" s="102"/>
      <c r="R315" s="102"/>
      <c r="S315" s="102"/>
      <c r="T315" s="102"/>
      <c r="U315" s="913"/>
      <c r="V315" s="114"/>
      <c r="W315" s="805"/>
      <c r="X315" s="805"/>
      <c r="Y315" s="805"/>
      <c r="Z315" s="914"/>
      <c r="AA315" s="102"/>
      <c r="AB315" s="102"/>
      <c r="AC315" s="102"/>
      <c r="AD315" s="102"/>
      <c r="AE315" s="102"/>
      <c r="AF315" s="102"/>
      <c r="AG315" s="102"/>
      <c r="AH315" s="102"/>
      <c r="AI315" s="102"/>
      <c r="AJ315" s="906"/>
      <c r="AK315" s="102"/>
      <c r="AL315" s="915"/>
      <c r="AM315" s="915"/>
      <c r="AN315" s="114"/>
      <c r="AO315" s="64"/>
      <c r="AP315" s="64"/>
      <c r="AQ315" s="64"/>
      <c r="AR315" s="916"/>
      <c r="AS315" s="916"/>
      <c r="AT315" s="916"/>
      <c r="AU315" s="917"/>
      <c r="AV315" s="917"/>
      <c r="AW315" s="917"/>
      <c r="AX315" s="918"/>
      <c r="AY315" s="916"/>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917"/>
      <c r="CA315" s="917"/>
      <c r="CB315" s="64"/>
      <c r="CC315" s="919"/>
      <c r="CD315" s="919"/>
      <c r="CE315" s="64"/>
      <c r="CF315" s="528"/>
      <c r="CG315" s="529"/>
      <c r="CH315" s="64"/>
      <c r="CI315" s="64"/>
      <c r="CJ315" s="64"/>
      <c r="CK315" s="64"/>
      <c r="CL315" s="64"/>
      <c r="CM315" s="64"/>
      <c r="CN315" s="64"/>
      <c r="CO315" s="64"/>
      <c r="CP315" s="64"/>
      <c r="CQ315" s="64"/>
      <c r="CR315" s="64"/>
      <c r="CS315" s="64"/>
      <c r="CT315" s="64"/>
      <c r="CU315" s="64"/>
      <c r="CV315" s="64"/>
      <c r="CW315" s="64"/>
      <c r="CX315" s="64"/>
      <c r="CY315" s="1011"/>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c r="FC315" s="64"/>
      <c r="FD315" s="64"/>
      <c r="FE315" s="64"/>
      <c r="FF315" s="64"/>
      <c r="FG315" s="64"/>
      <c r="FH315" s="64"/>
      <c r="FI315" s="64"/>
      <c r="FJ315" s="64"/>
      <c r="FK315" s="64"/>
      <c r="FL315" s="64"/>
      <c r="FM315" s="64"/>
      <c r="FN315" s="64"/>
      <c r="FO315" s="64"/>
      <c r="FP315" s="64"/>
      <c r="FQ315" s="64"/>
      <c r="FR315" s="64"/>
      <c r="FS315" s="64"/>
      <c r="FT315" s="64"/>
      <c r="FU315" s="64"/>
      <c r="FV315" s="64"/>
      <c r="FW315" s="64"/>
      <c r="FX315" s="64"/>
      <c r="FY315" s="64"/>
      <c r="FZ315" s="64"/>
      <c r="GA315" s="64"/>
      <c r="GB315" s="64"/>
      <c r="GC315" s="64"/>
      <c r="GD315" s="64"/>
      <c r="GE315" s="64"/>
      <c r="GF315" s="64"/>
      <c r="GG315" s="64"/>
      <c r="GH315" s="64"/>
      <c r="GI315" s="64"/>
      <c r="GJ315" s="64"/>
      <c r="GK315" s="64"/>
      <c r="GL315" s="64"/>
      <c r="GM315" s="64"/>
      <c r="GN315" s="64"/>
      <c r="GO315" s="64"/>
      <c r="GP315" s="64"/>
      <c r="GQ315" s="64"/>
      <c r="GR315" s="64"/>
      <c r="GS315" s="64"/>
      <c r="GT315" s="64"/>
      <c r="GU315" s="64"/>
      <c r="GV315" s="64"/>
      <c r="GW315" s="64"/>
      <c r="GX315" s="64"/>
      <c r="GY315" s="64"/>
      <c r="GZ315" s="64"/>
      <c r="HA315" s="64"/>
      <c r="HB315" s="64"/>
      <c r="HC315" s="64"/>
      <c r="HD315" s="64"/>
      <c r="HE315" s="64"/>
      <c r="HF315" s="64"/>
      <c r="HG315" s="64"/>
      <c r="HH315" s="64"/>
      <c r="HI315" s="64"/>
      <c r="HJ315" s="64"/>
      <c r="HK315" s="64"/>
      <c r="HL315" s="64"/>
      <c r="HM315" s="64"/>
      <c r="HN315" s="64"/>
      <c r="HO315" s="64"/>
      <c r="HP315" s="64"/>
      <c r="HQ315" s="64"/>
      <c r="HR315" s="64"/>
      <c r="HS315" s="64"/>
      <c r="HT315" s="64"/>
      <c r="HU315" s="64"/>
      <c r="HV315" s="64"/>
      <c r="HW315" s="64"/>
      <c r="HX315" s="64"/>
      <c r="HY315" s="64"/>
      <c r="HZ315" s="64"/>
      <c r="IA315" s="64"/>
      <c r="IB315" s="64"/>
      <c r="IC315" s="64"/>
      <c r="ID315" s="64"/>
      <c r="IE315" s="64"/>
      <c r="IF315" s="64"/>
      <c r="IG315" s="64"/>
      <c r="IH315" s="64"/>
      <c r="II315" s="64"/>
      <c r="IJ315" s="64"/>
      <c r="IK315" s="64"/>
      <c r="IL315" s="64"/>
      <c r="IM315" s="64"/>
      <c r="IN315" s="64"/>
      <c r="IO315" s="64"/>
      <c r="IP315" s="64"/>
      <c r="IQ315" s="64"/>
      <c r="IR315" s="64"/>
      <c r="IS315" s="64"/>
      <c r="IT315" s="64"/>
      <c r="IU315" s="64"/>
      <c r="IV315" s="64"/>
      <c r="IW315" s="64"/>
      <c r="IX315" s="64"/>
      <c r="IY315" s="64"/>
      <c r="IZ315" s="64"/>
      <c r="JA315" s="64"/>
      <c r="JB315" s="64"/>
      <c r="JC315" s="64"/>
      <c r="JD315" s="64"/>
      <c r="JE315" s="64"/>
      <c r="JF315" s="64"/>
      <c r="JG315" s="64"/>
      <c r="JH315" s="64"/>
      <c r="JI315" s="64"/>
    </row>
    <row r="316" spans="1:269" s="920" customFormat="1" x14ac:dyDescent="0.2">
      <c r="A316" s="116"/>
      <c r="B316" s="64"/>
      <c r="C316" s="64"/>
      <c r="D316" s="64"/>
      <c r="E316" s="64"/>
      <c r="F316" s="64"/>
      <c r="G316" s="64"/>
      <c r="H316" s="64"/>
      <c r="I316" s="64"/>
      <c r="J316" s="116"/>
      <c r="K316" s="116"/>
      <c r="L316" s="116"/>
      <c r="M316" s="116"/>
      <c r="N316" s="116"/>
      <c r="O316" s="116"/>
      <c r="P316" s="116"/>
      <c r="Q316" s="102"/>
      <c r="R316" s="102"/>
      <c r="S316" s="102"/>
      <c r="T316" s="102"/>
      <c r="U316" s="913"/>
      <c r="V316" s="114"/>
      <c r="W316" s="805"/>
      <c r="X316" s="805"/>
      <c r="Y316" s="805"/>
      <c r="Z316" s="914"/>
      <c r="AA316" s="102"/>
      <c r="AB316" s="102"/>
      <c r="AC316" s="102"/>
      <c r="AD316" s="102"/>
      <c r="AE316" s="102"/>
      <c r="AF316" s="102"/>
      <c r="AG316" s="102"/>
      <c r="AH316" s="102"/>
      <c r="AI316" s="102"/>
      <c r="AJ316" s="906"/>
      <c r="AK316" s="102"/>
      <c r="AL316" s="915"/>
      <c r="AM316" s="915"/>
      <c r="AN316" s="114"/>
      <c r="AO316" s="64"/>
      <c r="AP316" s="64"/>
      <c r="AQ316" s="64"/>
      <c r="AR316" s="916"/>
      <c r="AS316" s="916"/>
      <c r="AT316" s="916"/>
      <c r="AU316" s="917"/>
      <c r="AV316" s="917"/>
      <c r="AW316" s="917"/>
      <c r="AX316" s="918"/>
      <c r="AY316" s="916"/>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917"/>
      <c r="CA316" s="917"/>
      <c r="CB316" s="64"/>
      <c r="CC316" s="919"/>
      <c r="CD316" s="919"/>
      <c r="CE316" s="64"/>
      <c r="CF316" s="528"/>
      <c r="CG316" s="529"/>
      <c r="CH316" s="64"/>
      <c r="CI316" s="64"/>
      <c r="CJ316" s="64"/>
      <c r="CK316" s="64"/>
      <c r="CL316" s="64"/>
      <c r="CM316" s="64"/>
      <c r="CN316" s="64"/>
      <c r="CO316" s="64"/>
      <c r="CP316" s="64"/>
      <c r="CQ316" s="64"/>
      <c r="CR316" s="64"/>
      <c r="CS316" s="64"/>
      <c r="CT316" s="64"/>
      <c r="CU316" s="64"/>
      <c r="CV316" s="64"/>
      <c r="CW316" s="64"/>
      <c r="CX316" s="64"/>
      <c r="CY316" s="1011"/>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c r="FC316" s="64"/>
      <c r="FD316" s="64"/>
      <c r="FE316" s="64"/>
      <c r="FF316" s="64"/>
      <c r="FG316" s="64"/>
      <c r="FH316" s="64"/>
      <c r="FI316" s="64"/>
      <c r="FJ316" s="64"/>
      <c r="FK316" s="64"/>
      <c r="FL316" s="64"/>
      <c r="FM316" s="64"/>
      <c r="FN316" s="64"/>
      <c r="FO316" s="64"/>
      <c r="FP316" s="64"/>
      <c r="FQ316" s="64"/>
      <c r="FR316" s="64"/>
      <c r="FS316" s="64"/>
      <c r="FT316" s="64"/>
      <c r="FU316" s="64"/>
      <c r="FV316" s="64"/>
      <c r="FW316" s="64"/>
      <c r="FX316" s="64"/>
      <c r="FY316" s="64"/>
      <c r="FZ316" s="64"/>
      <c r="GA316" s="64"/>
      <c r="GB316" s="64"/>
      <c r="GC316" s="64"/>
      <c r="GD316" s="64"/>
      <c r="GE316" s="64"/>
      <c r="GF316" s="64"/>
      <c r="GG316" s="64"/>
      <c r="GH316" s="64"/>
      <c r="GI316" s="64"/>
      <c r="GJ316" s="64"/>
      <c r="GK316" s="64"/>
      <c r="GL316" s="64"/>
      <c r="GM316" s="64"/>
      <c r="GN316" s="64"/>
      <c r="GO316" s="64"/>
      <c r="GP316" s="64"/>
      <c r="GQ316" s="64"/>
      <c r="GR316" s="64"/>
      <c r="GS316" s="64"/>
      <c r="GT316" s="64"/>
      <c r="GU316" s="64"/>
      <c r="GV316" s="64"/>
      <c r="GW316" s="64"/>
      <c r="GX316" s="64"/>
      <c r="GY316" s="64"/>
      <c r="GZ316" s="64"/>
      <c r="HA316" s="64"/>
      <c r="HB316" s="64"/>
      <c r="HC316" s="64"/>
      <c r="HD316" s="64"/>
      <c r="HE316" s="64"/>
      <c r="HF316" s="64"/>
      <c r="HG316" s="64"/>
      <c r="HH316" s="64"/>
      <c r="HI316" s="64"/>
      <c r="HJ316" s="64"/>
      <c r="HK316" s="64"/>
      <c r="HL316" s="64"/>
      <c r="HM316" s="64"/>
      <c r="HN316" s="64"/>
      <c r="HO316" s="64"/>
      <c r="HP316" s="64"/>
      <c r="HQ316" s="64"/>
      <c r="HR316" s="64"/>
      <c r="HS316" s="64"/>
      <c r="HT316" s="64"/>
      <c r="HU316" s="64"/>
      <c r="HV316" s="64"/>
      <c r="HW316" s="64"/>
      <c r="HX316" s="64"/>
      <c r="HY316" s="64"/>
      <c r="HZ316" s="64"/>
      <c r="IA316" s="64"/>
      <c r="IB316" s="64"/>
      <c r="IC316" s="64"/>
      <c r="ID316" s="64"/>
      <c r="IE316" s="64"/>
      <c r="IF316" s="64"/>
      <c r="IG316" s="64"/>
      <c r="IH316" s="64"/>
      <c r="II316" s="64"/>
      <c r="IJ316" s="64"/>
      <c r="IK316" s="64"/>
      <c r="IL316" s="64"/>
      <c r="IM316" s="64"/>
      <c r="IN316" s="64"/>
      <c r="IO316" s="64"/>
      <c r="IP316" s="64"/>
      <c r="IQ316" s="64"/>
      <c r="IR316" s="64"/>
      <c r="IS316" s="64"/>
      <c r="IT316" s="64"/>
      <c r="IU316" s="64"/>
      <c r="IV316" s="64"/>
      <c r="IW316" s="64"/>
      <c r="IX316" s="64"/>
      <c r="IY316" s="64"/>
      <c r="IZ316" s="64"/>
      <c r="JA316" s="64"/>
      <c r="JB316" s="64"/>
      <c r="JC316" s="64"/>
      <c r="JD316" s="64"/>
      <c r="JE316" s="64"/>
      <c r="JF316" s="64"/>
      <c r="JG316" s="64"/>
      <c r="JH316" s="64"/>
      <c r="JI316" s="64"/>
    </row>
    <row r="317" spans="1:269" s="920" customFormat="1" x14ac:dyDescent="0.2">
      <c r="A317" s="116"/>
      <c r="B317" s="64"/>
      <c r="C317" s="64"/>
      <c r="D317" s="64"/>
      <c r="E317" s="64"/>
      <c r="F317" s="64"/>
      <c r="G317" s="64"/>
      <c r="H317" s="64"/>
      <c r="I317" s="64"/>
      <c r="J317" s="116"/>
      <c r="K317" s="116"/>
      <c r="L317" s="116"/>
      <c r="M317" s="116"/>
      <c r="N317" s="116"/>
      <c r="O317" s="116"/>
      <c r="P317" s="116"/>
      <c r="Q317" s="102"/>
      <c r="R317" s="102"/>
      <c r="S317" s="102"/>
      <c r="T317" s="102"/>
      <c r="U317" s="913"/>
      <c r="V317" s="114"/>
      <c r="W317" s="805"/>
      <c r="X317" s="805"/>
      <c r="Y317" s="805"/>
      <c r="Z317" s="914"/>
      <c r="AA317" s="102"/>
      <c r="AB317" s="102"/>
      <c r="AC317" s="102"/>
      <c r="AD317" s="102"/>
      <c r="AE317" s="102"/>
      <c r="AF317" s="102"/>
      <c r="AG317" s="102"/>
      <c r="AH317" s="102"/>
      <c r="AI317" s="102"/>
      <c r="AJ317" s="906"/>
      <c r="AK317" s="102"/>
      <c r="AL317" s="915"/>
      <c r="AM317" s="915"/>
      <c r="AN317" s="114"/>
      <c r="AO317" s="64"/>
      <c r="AP317" s="64"/>
      <c r="AQ317" s="64"/>
      <c r="AR317" s="916"/>
      <c r="AS317" s="916"/>
      <c r="AT317" s="916"/>
      <c r="AU317" s="917"/>
      <c r="AV317" s="917"/>
      <c r="AW317" s="917"/>
      <c r="AX317" s="918"/>
      <c r="AY317" s="916"/>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917"/>
      <c r="CA317" s="917"/>
      <c r="CB317" s="64"/>
      <c r="CC317" s="919"/>
      <c r="CD317" s="919"/>
      <c r="CE317" s="64"/>
      <c r="CF317" s="528"/>
      <c r="CG317" s="529"/>
      <c r="CH317" s="64"/>
      <c r="CI317" s="64"/>
      <c r="CJ317" s="64"/>
      <c r="CK317" s="64"/>
      <c r="CL317" s="64"/>
      <c r="CM317" s="64"/>
      <c r="CN317" s="64"/>
      <c r="CO317" s="64"/>
      <c r="CP317" s="64"/>
      <c r="CQ317" s="64"/>
      <c r="CR317" s="64"/>
      <c r="CS317" s="64"/>
      <c r="CT317" s="64"/>
      <c r="CU317" s="64"/>
      <c r="CV317" s="64"/>
      <c r="CW317" s="64"/>
      <c r="CX317" s="64"/>
      <c r="CY317" s="1011"/>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c r="FC317" s="64"/>
      <c r="FD317" s="64"/>
      <c r="FE317" s="64"/>
      <c r="FF317" s="64"/>
      <c r="FG317" s="64"/>
      <c r="FH317" s="64"/>
      <c r="FI317" s="64"/>
      <c r="FJ317" s="64"/>
      <c r="FK317" s="64"/>
      <c r="FL317" s="64"/>
      <c r="FM317" s="64"/>
      <c r="FN317" s="64"/>
      <c r="FO317" s="64"/>
      <c r="FP317" s="64"/>
      <c r="FQ317" s="64"/>
      <c r="FR317" s="64"/>
      <c r="FS317" s="64"/>
      <c r="FT317" s="64"/>
      <c r="FU317" s="64"/>
      <c r="FV317" s="64"/>
      <c r="FW317" s="64"/>
      <c r="FX317" s="64"/>
      <c r="FY317" s="64"/>
      <c r="FZ317" s="64"/>
      <c r="GA317" s="64"/>
      <c r="GB317" s="64"/>
      <c r="GC317" s="64"/>
      <c r="GD317" s="64"/>
      <c r="GE317" s="64"/>
      <c r="GF317" s="64"/>
      <c r="GG317" s="64"/>
      <c r="GH317" s="64"/>
      <c r="GI317" s="64"/>
      <c r="GJ317" s="64"/>
      <c r="GK317" s="64"/>
      <c r="GL317" s="64"/>
      <c r="GM317" s="64"/>
      <c r="GN317" s="64"/>
      <c r="GO317" s="64"/>
      <c r="GP317" s="64"/>
      <c r="GQ317" s="64"/>
      <c r="GR317" s="64"/>
      <c r="GS317" s="64"/>
      <c r="GT317" s="64"/>
      <c r="GU317" s="64"/>
      <c r="GV317" s="64"/>
      <c r="GW317" s="64"/>
      <c r="GX317" s="64"/>
      <c r="GY317" s="64"/>
      <c r="GZ317" s="64"/>
      <c r="HA317" s="64"/>
      <c r="HB317" s="64"/>
      <c r="HC317" s="64"/>
      <c r="HD317" s="64"/>
      <c r="HE317" s="64"/>
      <c r="HF317" s="64"/>
      <c r="HG317" s="64"/>
      <c r="HH317" s="64"/>
      <c r="HI317" s="64"/>
      <c r="HJ317" s="64"/>
      <c r="HK317" s="64"/>
      <c r="HL317" s="64"/>
      <c r="HM317" s="64"/>
      <c r="HN317" s="64"/>
      <c r="HO317" s="64"/>
      <c r="HP317" s="64"/>
      <c r="HQ317" s="64"/>
      <c r="HR317" s="64"/>
      <c r="HS317" s="64"/>
      <c r="HT317" s="64"/>
      <c r="HU317" s="64"/>
      <c r="HV317" s="64"/>
      <c r="HW317" s="64"/>
      <c r="HX317" s="64"/>
      <c r="HY317" s="64"/>
      <c r="HZ317" s="64"/>
      <c r="IA317" s="64"/>
      <c r="IB317" s="64"/>
      <c r="IC317" s="64"/>
      <c r="ID317" s="64"/>
      <c r="IE317" s="64"/>
      <c r="IF317" s="64"/>
      <c r="IG317" s="64"/>
      <c r="IH317" s="64"/>
      <c r="II317" s="64"/>
      <c r="IJ317" s="64"/>
      <c r="IK317" s="64"/>
      <c r="IL317" s="64"/>
      <c r="IM317" s="64"/>
      <c r="IN317" s="64"/>
      <c r="IO317" s="64"/>
      <c r="IP317" s="64"/>
      <c r="IQ317" s="64"/>
      <c r="IR317" s="64"/>
      <c r="IS317" s="64"/>
      <c r="IT317" s="64"/>
      <c r="IU317" s="64"/>
      <c r="IV317" s="64"/>
      <c r="IW317" s="64"/>
      <c r="IX317" s="64"/>
      <c r="IY317" s="64"/>
      <c r="IZ317" s="64"/>
      <c r="JA317" s="64"/>
      <c r="JB317" s="64"/>
      <c r="JC317" s="64"/>
      <c r="JD317" s="64"/>
      <c r="JE317" s="64"/>
      <c r="JF317" s="64"/>
      <c r="JG317" s="64"/>
      <c r="JH317" s="64"/>
      <c r="JI317" s="64"/>
    </row>
    <row r="318" spans="1:269" s="920" customFormat="1" x14ac:dyDescent="0.2">
      <c r="A318" s="116"/>
      <c r="B318" s="64"/>
      <c r="C318" s="64"/>
      <c r="D318" s="64"/>
      <c r="E318" s="64"/>
      <c r="F318" s="64"/>
      <c r="G318" s="64"/>
      <c r="H318" s="64"/>
      <c r="I318" s="64"/>
      <c r="J318" s="116"/>
      <c r="K318" s="116"/>
      <c r="L318" s="116"/>
      <c r="M318" s="116"/>
      <c r="N318" s="116"/>
      <c r="O318" s="116"/>
      <c r="P318" s="116"/>
      <c r="Q318" s="102"/>
      <c r="R318" s="102"/>
      <c r="S318" s="102"/>
      <c r="T318" s="102"/>
      <c r="U318" s="913"/>
      <c r="V318" s="114"/>
      <c r="W318" s="805"/>
      <c r="X318" s="805"/>
      <c r="Y318" s="805"/>
      <c r="Z318" s="914"/>
      <c r="AA318" s="102"/>
      <c r="AB318" s="102"/>
      <c r="AC318" s="102"/>
      <c r="AD318" s="102"/>
      <c r="AE318" s="102"/>
      <c r="AF318" s="102"/>
      <c r="AG318" s="102"/>
      <c r="AH318" s="102"/>
      <c r="AI318" s="102"/>
      <c r="AJ318" s="906"/>
      <c r="AK318" s="102"/>
      <c r="AL318" s="915"/>
      <c r="AM318" s="915"/>
      <c r="AN318" s="114"/>
      <c r="AO318" s="64"/>
      <c r="AP318" s="64"/>
      <c r="AQ318" s="64"/>
      <c r="AR318" s="916"/>
      <c r="AS318" s="916"/>
      <c r="AT318" s="916"/>
      <c r="AU318" s="917"/>
      <c r="AV318" s="917"/>
      <c r="AW318" s="917"/>
      <c r="AX318" s="918"/>
      <c r="AY318" s="916"/>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917"/>
      <c r="CA318" s="917"/>
      <c r="CB318" s="64"/>
      <c r="CC318" s="919"/>
      <c r="CD318" s="919"/>
      <c r="CE318" s="64"/>
      <c r="CF318" s="528"/>
      <c r="CG318" s="529"/>
      <c r="CH318" s="64"/>
      <c r="CI318" s="64"/>
      <c r="CJ318" s="64"/>
      <c r="CK318" s="64"/>
      <c r="CL318" s="64"/>
      <c r="CM318" s="64"/>
      <c r="CN318" s="64"/>
      <c r="CO318" s="64"/>
      <c r="CP318" s="64"/>
      <c r="CQ318" s="64"/>
      <c r="CR318" s="64"/>
      <c r="CS318" s="64"/>
      <c r="CT318" s="64"/>
      <c r="CU318" s="64"/>
      <c r="CV318" s="64"/>
      <c r="CW318" s="64"/>
      <c r="CX318" s="64"/>
      <c r="CY318" s="1011"/>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c r="FC318" s="64"/>
      <c r="FD318" s="64"/>
      <c r="FE318" s="64"/>
      <c r="FF318" s="64"/>
      <c r="FG318" s="64"/>
      <c r="FH318" s="64"/>
      <c r="FI318" s="64"/>
      <c r="FJ318" s="64"/>
      <c r="FK318" s="64"/>
      <c r="FL318" s="64"/>
      <c r="FM318" s="64"/>
      <c r="FN318" s="64"/>
      <c r="FO318" s="64"/>
      <c r="FP318" s="64"/>
      <c r="FQ318" s="64"/>
      <c r="FR318" s="64"/>
      <c r="FS318" s="64"/>
      <c r="FT318" s="64"/>
      <c r="FU318" s="64"/>
      <c r="FV318" s="64"/>
      <c r="FW318" s="64"/>
      <c r="FX318" s="64"/>
      <c r="FY318" s="64"/>
      <c r="FZ318" s="64"/>
      <c r="GA318" s="64"/>
      <c r="GB318" s="64"/>
      <c r="GC318" s="64"/>
      <c r="GD318" s="64"/>
      <c r="GE318" s="64"/>
      <c r="GF318" s="64"/>
      <c r="GG318" s="64"/>
      <c r="GH318" s="64"/>
      <c r="GI318" s="64"/>
      <c r="GJ318" s="64"/>
      <c r="GK318" s="64"/>
      <c r="GL318" s="64"/>
      <c r="GM318" s="64"/>
      <c r="GN318" s="64"/>
      <c r="GO318" s="64"/>
      <c r="GP318" s="64"/>
      <c r="GQ318" s="64"/>
      <c r="GR318" s="64"/>
      <c r="GS318" s="64"/>
      <c r="GT318" s="64"/>
      <c r="GU318" s="64"/>
      <c r="GV318" s="64"/>
      <c r="GW318" s="64"/>
      <c r="GX318" s="64"/>
      <c r="GY318" s="64"/>
      <c r="GZ318" s="64"/>
      <c r="HA318" s="64"/>
      <c r="HB318" s="64"/>
      <c r="HC318" s="64"/>
      <c r="HD318" s="64"/>
      <c r="HE318" s="64"/>
      <c r="HF318" s="64"/>
      <c r="HG318" s="64"/>
      <c r="HH318" s="64"/>
      <c r="HI318" s="64"/>
      <c r="HJ318" s="64"/>
      <c r="HK318" s="64"/>
      <c r="HL318" s="64"/>
      <c r="HM318" s="64"/>
      <c r="HN318" s="64"/>
      <c r="HO318" s="64"/>
      <c r="HP318" s="64"/>
      <c r="HQ318" s="64"/>
      <c r="HR318" s="64"/>
      <c r="HS318" s="64"/>
      <c r="HT318" s="64"/>
      <c r="HU318" s="64"/>
      <c r="HV318" s="64"/>
      <c r="HW318" s="64"/>
      <c r="HX318" s="64"/>
      <c r="HY318" s="64"/>
      <c r="HZ318" s="64"/>
      <c r="IA318" s="64"/>
      <c r="IB318" s="64"/>
      <c r="IC318" s="64"/>
      <c r="ID318" s="64"/>
      <c r="IE318" s="64"/>
      <c r="IF318" s="64"/>
      <c r="IG318" s="64"/>
      <c r="IH318" s="64"/>
      <c r="II318" s="64"/>
      <c r="IJ318" s="64"/>
      <c r="IK318" s="64"/>
      <c r="IL318" s="64"/>
      <c r="IM318" s="64"/>
      <c r="IN318" s="64"/>
      <c r="IO318" s="64"/>
      <c r="IP318" s="64"/>
      <c r="IQ318" s="64"/>
      <c r="IR318" s="64"/>
      <c r="IS318" s="64"/>
      <c r="IT318" s="64"/>
      <c r="IU318" s="64"/>
      <c r="IV318" s="64"/>
      <c r="IW318" s="64"/>
      <c r="IX318" s="64"/>
      <c r="IY318" s="64"/>
      <c r="IZ318" s="64"/>
      <c r="JA318" s="64"/>
      <c r="JB318" s="64"/>
      <c r="JC318" s="64"/>
      <c r="JD318" s="64"/>
      <c r="JE318" s="64"/>
      <c r="JF318" s="64"/>
      <c r="JG318" s="64"/>
      <c r="JH318" s="64"/>
      <c r="JI318" s="64"/>
    </row>
    <row r="319" spans="1:269" s="920" customFormat="1" x14ac:dyDescent="0.2">
      <c r="A319" s="116"/>
      <c r="B319" s="64"/>
      <c r="C319" s="64"/>
      <c r="D319" s="64"/>
      <c r="E319" s="64"/>
      <c r="F319" s="64"/>
      <c r="G319" s="64"/>
      <c r="H319" s="64"/>
      <c r="I319" s="64"/>
      <c r="J319" s="116"/>
      <c r="K319" s="116"/>
      <c r="L319" s="116"/>
      <c r="M319" s="116"/>
      <c r="N319" s="116"/>
      <c r="O319" s="116"/>
      <c r="P319" s="116"/>
      <c r="Q319" s="102"/>
      <c r="R319" s="102"/>
      <c r="S319" s="102"/>
      <c r="T319" s="102"/>
      <c r="U319" s="913"/>
      <c r="V319" s="114"/>
      <c r="W319" s="805"/>
      <c r="X319" s="805"/>
      <c r="Y319" s="805"/>
      <c r="Z319" s="914"/>
      <c r="AA319" s="102"/>
      <c r="AB319" s="102"/>
      <c r="AC319" s="102"/>
      <c r="AD319" s="102"/>
      <c r="AE319" s="102"/>
      <c r="AF319" s="102"/>
      <c r="AG319" s="102"/>
      <c r="AH319" s="102"/>
      <c r="AI319" s="102"/>
      <c r="AJ319" s="906"/>
      <c r="AK319" s="102"/>
      <c r="AL319" s="915"/>
      <c r="AM319" s="915"/>
      <c r="AN319" s="114"/>
      <c r="AO319" s="64"/>
      <c r="AP319" s="64"/>
      <c r="AQ319" s="64"/>
      <c r="AR319" s="916"/>
      <c r="AS319" s="916"/>
      <c r="AT319" s="916"/>
      <c r="AU319" s="917"/>
      <c r="AV319" s="917"/>
      <c r="AW319" s="917"/>
      <c r="AX319" s="918"/>
      <c r="AY319" s="916"/>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917"/>
      <c r="CA319" s="917"/>
      <c r="CB319" s="64"/>
      <c r="CC319" s="919"/>
      <c r="CD319" s="919"/>
      <c r="CE319" s="64"/>
      <c r="CF319" s="528"/>
      <c r="CG319" s="529"/>
      <c r="CH319" s="64"/>
      <c r="CI319" s="64"/>
      <c r="CJ319" s="64"/>
      <c r="CK319" s="64"/>
      <c r="CL319" s="64"/>
      <c r="CM319" s="64"/>
      <c r="CN319" s="64"/>
      <c r="CO319" s="64"/>
      <c r="CP319" s="64"/>
      <c r="CQ319" s="64"/>
      <c r="CR319" s="64"/>
      <c r="CS319" s="64"/>
      <c r="CT319" s="64"/>
      <c r="CU319" s="64"/>
      <c r="CV319" s="64"/>
      <c r="CW319" s="64"/>
      <c r="CX319" s="64"/>
      <c r="CY319" s="1011"/>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c r="FC319" s="64"/>
      <c r="FD319" s="64"/>
      <c r="FE319" s="64"/>
      <c r="FF319" s="64"/>
      <c r="FG319" s="64"/>
      <c r="FH319" s="64"/>
      <c r="FI319" s="64"/>
      <c r="FJ319" s="64"/>
      <c r="FK319" s="64"/>
      <c r="FL319" s="64"/>
      <c r="FM319" s="64"/>
      <c r="FN319" s="64"/>
      <c r="FO319" s="64"/>
      <c r="FP319" s="64"/>
      <c r="FQ319" s="64"/>
      <c r="FR319" s="64"/>
      <c r="FS319" s="64"/>
      <c r="FT319" s="64"/>
      <c r="FU319" s="64"/>
      <c r="FV319" s="64"/>
      <c r="FW319" s="64"/>
      <c r="FX319" s="64"/>
      <c r="FY319" s="64"/>
      <c r="FZ319" s="64"/>
      <c r="GA319" s="64"/>
      <c r="GB319" s="64"/>
      <c r="GC319" s="64"/>
      <c r="GD319" s="64"/>
      <c r="GE319" s="64"/>
      <c r="GF319" s="64"/>
      <c r="GG319" s="64"/>
      <c r="GH319" s="64"/>
      <c r="GI319" s="64"/>
      <c r="GJ319" s="64"/>
      <c r="GK319" s="64"/>
      <c r="GL319" s="64"/>
      <c r="GM319" s="64"/>
      <c r="GN319" s="64"/>
      <c r="GO319" s="64"/>
      <c r="GP319" s="64"/>
      <c r="GQ319" s="64"/>
      <c r="GR319" s="64"/>
      <c r="GS319" s="64"/>
      <c r="GT319" s="64"/>
      <c r="GU319" s="64"/>
      <c r="GV319" s="64"/>
      <c r="GW319" s="64"/>
      <c r="GX319" s="64"/>
      <c r="GY319" s="64"/>
      <c r="GZ319" s="64"/>
      <c r="HA319" s="64"/>
      <c r="HB319" s="64"/>
      <c r="HC319" s="64"/>
      <c r="HD319" s="64"/>
      <c r="HE319" s="64"/>
      <c r="HF319" s="64"/>
      <c r="HG319" s="64"/>
      <c r="HH319" s="64"/>
      <c r="HI319" s="64"/>
      <c r="HJ319" s="64"/>
      <c r="HK319" s="64"/>
      <c r="HL319" s="64"/>
      <c r="HM319" s="64"/>
      <c r="HN319" s="64"/>
      <c r="HO319" s="64"/>
      <c r="HP319" s="64"/>
      <c r="HQ319" s="64"/>
      <c r="HR319" s="64"/>
      <c r="HS319" s="64"/>
      <c r="HT319" s="64"/>
      <c r="HU319" s="64"/>
      <c r="HV319" s="64"/>
      <c r="HW319" s="64"/>
      <c r="HX319" s="64"/>
      <c r="HY319" s="64"/>
      <c r="HZ319" s="64"/>
      <c r="IA319" s="64"/>
      <c r="IB319" s="64"/>
      <c r="IC319" s="64"/>
      <c r="ID319" s="64"/>
      <c r="IE319" s="64"/>
      <c r="IF319" s="64"/>
      <c r="IG319" s="64"/>
      <c r="IH319" s="64"/>
      <c r="II319" s="64"/>
      <c r="IJ319" s="64"/>
      <c r="IK319" s="64"/>
      <c r="IL319" s="64"/>
      <c r="IM319" s="64"/>
      <c r="IN319" s="64"/>
      <c r="IO319" s="64"/>
      <c r="IP319" s="64"/>
      <c r="IQ319" s="64"/>
      <c r="IR319" s="64"/>
      <c r="IS319" s="64"/>
      <c r="IT319" s="64"/>
      <c r="IU319" s="64"/>
      <c r="IV319" s="64"/>
      <c r="IW319" s="64"/>
      <c r="IX319" s="64"/>
      <c r="IY319" s="64"/>
      <c r="IZ319" s="64"/>
      <c r="JA319" s="64"/>
      <c r="JB319" s="64"/>
      <c r="JC319" s="64"/>
      <c r="JD319" s="64"/>
      <c r="JE319" s="64"/>
      <c r="JF319" s="64"/>
      <c r="JG319" s="64"/>
      <c r="JH319" s="64"/>
      <c r="JI319" s="64"/>
    </row>
    <row r="320" spans="1:269" s="920" customFormat="1" x14ac:dyDescent="0.2">
      <c r="A320" s="116"/>
      <c r="B320" s="64"/>
      <c r="C320" s="64"/>
      <c r="D320" s="64"/>
      <c r="E320" s="64"/>
      <c r="F320" s="64"/>
      <c r="G320" s="64"/>
      <c r="H320" s="64"/>
      <c r="I320" s="64"/>
      <c r="J320" s="116"/>
      <c r="K320" s="116"/>
      <c r="L320" s="116"/>
      <c r="M320" s="116"/>
      <c r="N320" s="116"/>
      <c r="O320" s="116"/>
      <c r="P320" s="116"/>
      <c r="Q320" s="102"/>
      <c r="R320" s="102"/>
      <c r="S320" s="102"/>
      <c r="T320" s="102"/>
      <c r="U320" s="913"/>
      <c r="V320" s="114"/>
      <c r="W320" s="805"/>
      <c r="X320" s="805"/>
      <c r="Y320" s="805"/>
      <c r="Z320" s="914"/>
      <c r="AA320" s="102"/>
      <c r="AB320" s="102"/>
      <c r="AC320" s="102"/>
      <c r="AD320" s="102"/>
      <c r="AE320" s="102"/>
      <c r="AF320" s="102"/>
      <c r="AG320" s="102"/>
      <c r="AH320" s="102"/>
      <c r="AI320" s="102"/>
      <c r="AJ320" s="906"/>
      <c r="AK320" s="102"/>
      <c r="AL320" s="915"/>
      <c r="AM320" s="915"/>
      <c r="AN320" s="114"/>
      <c r="AO320" s="64"/>
      <c r="AP320" s="64"/>
      <c r="AQ320" s="64"/>
      <c r="AR320" s="916"/>
      <c r="AS320" s="916"/>
      <c r="AT320" s="916"/>
      <c r="AU320" s="917"/>
      <c r="AV320" s="917"/>
      <c r="AW320" s="917"/>
      <c r="AX320" s="918"/>
      <c r="AY320" s="916"/>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917"/>
      <c r="CA320" s="917"/>
      <c r="CB320" s="64"/>
      <c r="CC320" s="919"/>
      <c r="CD320" s="919"/>
      <c r="CE320" s="64"/>
      <c r="CF320" s="528"/>
      <c r="CG320" s="529"/>
      <c r="CH320" s="64"/>
      <c r="CI320" s="64"/>
      <c r="CJ320" s="64"/>
      <c r="CK320" s="64"/>
      <c r="CL320" s="64"/>
      <c r="CM320" s="64"/>
      <c r="CN320" s="64"/>
      <c r="CO320" s="64"/>
      <c r="CP320" s="64"/>
      <c r="CQ320" s="64"/>
      <c r="CR320" s="64"/>
      <c r="CS320" s="64"/>
      <c r="CT320" s="64"/>
      <c r="CU320" s="64"/>
      <c r="CV320" s="64"/>
      <c r="CW320" s="64"/>
      <c r="CX320" s="64"/>
      <c r="CY320" s="1011"/>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c r="FC320" s="64"/>
      <c r="FD320" s="64"/>
      <c r="FE320" s="64"/>
      <c r="FF320" s="64"/>
      <c r="FG320" s="64"/>
      <c r="FH320" s="64"/>
      <c r="FI320" s="64"/>
      <c r="FJ320" s="64"/>
      <c r="FK320" s="64"/>
      <c r="FL320" s="64"/>
      <c r="FM320" s="64"/>
      <c r="FN320" s="64"/>
      <c r="FO320" s="64"/>
      <c r="FP320" s="64"/>
      <c r="FQ320" s="64"/>
      <c r="FR320" s="64"/>
      <c r="FS320" s="64"/>
      <c r="FT320" s="64"/>
      <c r="FU320" s="64"/>
      <c r="FV320" s="64"/>
      <c r="FW320" s="64"/>
      <c r="FX320" s="64"/>
      <c r="FY320" s="64"/>
      <c r="FZ320" s="64"/>
      <c r="GA320" s="64"/>
      <c r="GB320" s="64"/>
      <c r="GC320" s="64"/>
      <c r="GD320" s="64"/>
      <c r="GE320" s="64"/>
      <c r="GF320" s="64"/>
      <c r="GG320" s="64"/>
      <c r="GH320" s="64"/>
      <c r="GI320" s="64"/>
      <c r="GJ320" s="64"/>
      <c r="GK320" s="64"/>
      <c r="GL320" s="64"/>
      <c r="GM320" s="64"/>
      <c r="GN320" s="64"/>
      <c r="GO320" s="64"/>
      <c r="GP320" s="64"/>
      <c r="GQ320" s="64"/>
      <c r="GR320" s="64"/>
      <c r="GS320" s="64"/>
      <c r="GT320" s="64"/>
      <c r="GU320" s="64"/>
      <c r="GV320" s="64"/>
      <c r="GW320" s="64"/>
      <c r="GX320" s="64"/>
      <c r="GY320" s="64"/>
      <c r="GZ320" s="64"/>
      <c r="HA320" s="64"/>
      <c r="HB320" s="64"/>
      <c r="HC320" s="64"/>
      <c r="HD320" s="64"/>
      <c r="HE320" s="64"/>
      <c r="HF320" s="64"/>
      <c r="HG320" s="64"/>
      <c r="HH320" s="64"/>
      <c r="HI320" s="64"/>
      <c r="HJ320" s="64"/>
      <c r="HK320" s="64"/>
      <c r="HL320" s="64"/>
      <c r="HM320" s="64"/>
      <c r="HN320" s="64"/>
      <c r="HO320" s="64"/>
      <c r="HP320" s="64"/>
      <c r="HQ320" s="64"/>
      <c r="HR320" s="64"/>
      <c r="HS320" s="64"/>
      <c r="HT320" s="64"/>
      <c r="HU320" s="64"/>
      <c r="HV320" s="64"/>
      <c r="HW320" s="64"/>
      <c r="HX320" s="64"/>
      <c r="HY320" s="64"/>
      <c r="HZ320" s="64"/>
      <c r="IA320" s="64"/>
      <c r="IB320" s="64"/>
      <c r="IC320" s="64"/>
      <c r="ID320" s="64"/>
      <c r="IE320" s="64"/>
      <c r="IF320" s="64"/>
      <c r="IG320" s="64"/>
      <c r="IH320" s="64"/>
      <c r="II320" s="64"/>
      <c r="IJ320" s="64"/>
      <c r="IK320" s="64"/>
      <c r="IL320" s="64"/>
      <c r="IM320" s="64"/>
      <c r="IN320" s="64"/>
      <c r="IO320" s="64"/>
      <c r="IP320" s="64"/>
      <c r="IQ320" s="64"/>
      <c r="IR320" s="64"/>
      <c r="IS320" s="64"/>
      <c r="IT320" s="64"/>
      <c r="IU320" s="64"/>
      <c r="IV320" s="64"/>
      <c r="IW320" s="64"/>
      <c r="IX320" s="64"/>
      <c r="IY320" s="64"/>
      <c r="IZ320" s="64"/>
      <c r="JA320" s="64"/>
      <c r="JB320" s="64"/>
      <c r="JC320" s="64"/>
      <c r="JD320" s="64"/>
      <c r="JE320" s="64"/>
      <c r="JF320" s="64"/>
      <c r="JG320" s="64"/>
      <c r="JH320" s="64"/>
      <c r="JI320" s="64"/>
    </row>
    <row r="321" spans="1:269" s="920" customFormat="1" x14ac:dyDescent="0.2">
      <c r="A321" s="116"/>
      <c r="B321" s="64"/>
      <c r="C321" s="64"/>
      <c r="D321" s="64"/>
      <c r="E321" s="64"/>
      <c r="F321" s="64"/>
      <c r="G321" s="64"/>
      <c r="H321" s="64"/>
      <c r="I321" s="64"/>
      <c r="J321" s="116"/>
      <c r="K321" s="116"/>
      <c r="L321" s="116"/>
      <c r="M321" s="116"/>
      <c r="N321" s="116"/>
      <c r="O321" s="116"/>
      <c r="P321" s="116"/>
      <c r="Q321" s="102"/>
      <c r="R321" s="102"/>
      <c r="S321" s="102"/>
      <c r="T321" s="102"/>
      <c r="U321" s="913"/>
      <c r="V321" s="114"/>
      <c r="W321" s="805"/>
      <c r="X321" s="805"/>
      <c r="Y321" s="805"/>
      <c r="Z321" s="914"/>
      <c r="AA321" s="102"/>
      <c r="AB321" s="102"/>
      <c r="AC321" s="102"/>
      <c r="AD321" s="102"/>
      <c r="AE321" s="102"/>
      <c r="AF321" s="102"/>
      <c r="AG321" s="102"/>
      <c r="AH321" s="102"/>
      <c r="AI321" s="102"/>
      <c r="AJ321" s="906"/>
      <c r="AK321" s="102"/>
      <c r="AL321" s="915"/>
      <c r="AM321" s="915"/>
      <c r="AN321" s="114"/>
      <c r="AO321" s="64"/>
      <c r="AP321" s="64"/>
      <c r="AQ321" s="64"/>
      <c r="AR321" s="916"/>
      <c r="AS321" s="916"/>
      <c r="AT321" s="916"/>
      <c r="AU321" s="917"/>
      <c r="AV321" s="917"/>
      <c r="AW321" s="917"/>
      <c r="AX321" s="918"/>
      <c r="AY321" s="916"/>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917"/>
      <c r="CA321" s="917"/>
      <c r="CB321" s="64"/>
      <c r="CC321" s="919"/>
      <c r="CD321" s="919"/>
      <c r="CE321" s="64"/>
      <c r="CF321" s="528"/>
      <c r="CG321" s="529"/>
      <c r="CH321" s="64"/>
      <c r="CI321" s="64"/>
      <c r="CJ321" s="64"/>
      <c r="CK321" s="64"/>
      <c r="CL321" s="64"/>
      <c r="CM321" s="64"/>
      <c r="CN321" s="64"/>
      <c r="CO321" s="64"/>
      <c r="CP321" s="64"/>
      <c r="CQ321" s="64"/>
      <c r="CR321" s="64"/>
      <c r="CS321" s="64"/>
      <c r="CT321" s="64"/>
      <c r="CU321" s="64"/>
      <c r="CV321" s="64"/>
      <c r="CW321" s="64"/>
      <c r="CX321" s="64"/>
      <c r="CY321" s="1011"/>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c r="FC321" s="64"/>
      <c r="FD321" s="64"/>
      <c r="FE321" s="64"/>
      <c r="FF321" s="64"/>
      <c r="FG321" s="64"/>
      <c r="FH321" s="64"/>
      <c r="FI321" s="64"/>
      <c r="FJ321" s="64"/>
      <c r="FK321" s="64"/>
      <c r="FL321" s="64"/>
      <c r="FM321" s="64"/>
      <c r="FN321" s="64"/>
      <c r="FO321" s="64"/>
      <c r="FP321" s="64"/>
      <c r="FQ321" s="64"/>
      <c r="FR321" s="64"/>
      <c r="FS321" s="64"/>
      <c r="FT321" s="64"/>
      <c r="FU321" s="64"/>
      <c r="FV321" s="64"/>
      <c r="FW321" s="64"/>
      <c r="FX321" s="64"/>
      <c r="FY321" s="64"/>
      <c r="FZ321" s="64"/>
      <c r="GA321" s="64"/>
      <c r="GB321" s="64"/>
      <c r="GC321" s="64"/>
      <c r="GD321" s="64"/>
      <c r="GE321" s="64"/>
      <c r="GF321" s="64"/>
      <c r="GG321" s="64"/>
      <c r="GH321" s="64"/>
      <c r="GI321" s="64"/>
      <c r="GJ321" s="64"/>
      <c r="GK321" s="64"/>
      <c r="GL321" s="64"/>
      <c r="GM321" s="64"/>
      <c r="GN321" s="64"/>
      <c r="GO321" s="64"/>
      <c r="GP321" s="64"/>
      <c r="GQ321" s="64"/>
      <c r="GR321" s="64"/>
      <c r="GS321" s="64"/>
      <c r="GT321" s="64"/>
      <c r="GU321" s="64"/>
      <c r="GV321" s="64"/>
      <c r="GW321" s="64"/>
      <c r="GX321" s="64"/>
      <c r="GY321" s="64"/>
      <c r="GZ321" s="64"/>
      <c r="HA321" s="64"/>
      <c r="HB321" s="64"/>
      <c r="HC321" s="64"/>
      <c r="HD321" s="64"/>
      <c r="HE321" s="64"/>
      <c r="HF321" s="64"/>
      <c r="HG321" s="64"/>
      <c r="HH321" s="64"/>
      <c r="HI321" s="64"/>
      <c r="HJ321" s="64"/>
      <c r="HK321" s="64"/>
      <c r="HL321" s="64"/>
      <c r="HM321" s="64"/>
      <c r="HN321" s="64"/>
      <c r="HO321" s="64"/>
      <c r="HP321" s="64"/>
      <c r="HQ321" s="64"/>
      <c r="HR321" s="64"/>
      <c r="HS321" s="64"/>
      <c r="HT321" s="64"/>
      <c r="HU321" s="64"/>
      <c r="HV321" s="64"/>
      <c r="HW321" s="64"/>
      <c r="HX321" s="64"/>
      <c r="HY321" s="64"/>
      <c r="HZ321" s="64"/>
      <c r="IA321" s="64"/>
      <c r="IB321" s="64"/>
      <c r="IC321" s="64"/>
      <c r="ID321" s="64"/>
      <c r="IE321" s="64"/>
      <c r="IF321" s="64"/>
      <c r="IG321" s="64"/>
      <c r="IH321" s="64"/>
      <c r="II321" s="64"/>
      <c r="IJ321" s="64"/>
      <c r="IK321" s="64"/>
      <c r="IL321" s="64"/>
      <c r="IM321" s="64"/>
      <c r="IN321" s="64"/>
      <c r="IO321" s="64"/>
      <c r="IP321" s="64"/>
      <c r="IQ321" s="64"/>
      <c r="IR321" s="64"/>
      <c r="IS321" s="64"/>
      <c r="IT321" s="64"/>
      <c r="IU321" s="64"/>
      <c r="IV321" s="64"/>
      <c r="IW321" s="64"/>
      <c r="IX321" s="64"/>
      <c r="IY321" s="64"/>
      <c r="IZ321" s="64"/>
      <c r="JA321" s="64"/>
      <c r="JB321" s="64"/>
      <c r="JC321" s="64"/>
      <c r="JD321" s="64"/>
      <c r="JE321" s="64"/>
      <c r="JF321" s="64"/>
      <c r="JG321" s="64"/>
      <c r="JH321" s="64"/>
      <c r="JI321" s="64"/>
    </row>
    <row r="322" spans="1:269" s="920" customFormat="1" x14ac:dyDescent="0.2">
      <c r="A322" s="116"/>
      <c r="B322" s="64"/>
      <c r="C322" s="64"/>
      <c r="D322" s="64"/>
      <c r="E322" s="64"/>
      <c r="F322" s="64"/>
      <c r="G322" s="64"/>
      <c r="H322" s="64"/>
      <c r="I322" s="64"/>
      <c r="J322" s="116"/>
      <c r="K322" s="116"/>
      <c r="L322" s="116"/>
      <c r="M322" s="116"/>
      <c r="N322" s="116"/>
      <c r="O322" s="116"/>
      <c r="P322" s="116"/>
      <c r="Q322" s="102"/>
      <c r="R322" s="102"/>
      <c r="S322" s="102"/>
      <c r="T322" s="102"/>
      <c r="U322" s="913"/>
      <c r="V322" s="114"/>
      <c r="W322" s="805"/>
      <c r="X322" s="805"/>
      <c r="Y322" s="805"/>
      <c r="Z322" s="914"/>
      <c r="AA322" s="102"/>
      <c r="AB322" s="102"/>
      <c r="AC322" s="102"/>
      <c r="AD322" s="102"/>
      <c r="AE322" s="102"/>
      <c r="AF322" s="102"/>
      <c r="AG322" s="102"/>
      <c r="AH322" s="102"/>
      <c r="AI322" s="102"/>
      <c r="AJ322" s="906"/>
      <c r="AK322" s="102"/>
      <c r="AL322" s="915"/>
      <c r="AM322" s="915"/>
      <c r="AN322" s="114"/>
      <c r="AO322" s="64"/>
      <c r="AP322" s="64"/>
      <c r="AQ322" s="64"/>
      <c r="AR322" s="916"/>
      <c r="AS322" s="916"/>
      <c r="AT322" s="916"/>
      <c r="AU322" s="917"/>
      <c r="AV322" s="917"/>
      <c r="AW322" s="917"/>
      <c r="AX322" s="918"/>
      <c r="AY322" s="916"/>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917"/>
      <c r="CA322" s="917"/>
      <c r="CB322" s="64"/>
      <c r="CC322" s="919"/>
      <c r="CD322" s="919"/>
      <c r="CE322" s="64"/>
      <c r="CF322" s="528"/>
      <c r="CG322" s="529"/>
      <c r="CH322" s="64"/>
      <c r="CI322" s="64"/>
      <c r="CJ322" s="64"/>
      <c r="CK322" s="64"/>
      <c r="CL322" s="64"/>
      <c r="CM322" s="64"/>
      <c r="CN322" s="64"/>
      <c r="CO322" s="64"/>
      <c r="CP322" s="64"/>
      <c r="CQ322" s="64"/>
      <c r="CR322" s="64"/>
      <c r="CS322" s="64"/>
      <c r="CT322" s="64"/>
      <c r="CU322" s="64"/>
      <c r="CV322" s="64"/>
      <c r="CW322" s="64"/>
      <c r="CX322" s="64"/>
      <c r="CY322" s="1011"/>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c r="FC322" s="64"/>
      <c r="FD322" s="64"/>
      <c r="FE322" s="64"/>
      <c r="FF322" s="64"/>
      <c r="FG322" s="64"/>
      <c r="FH322" s="64"/>
      <c r="FI322" s="64"/>
      <c r="FJ322" s="64"/>
      <c r="FK322" s="64"/>
      <c r="FL322" s="64"/>
      <c r="FM322" s="64"/>
      <c r="FN322" s="64"/>
      <c r="FO322" s="64"/>
      <c r="FP322" s="64"/>
      <c r="FQ322" s="64"/>
      <c r="FR322" s="64"/>
      <c r="FS322" s="64"/>
      <c r="FT322" s="64"/>
      <c r="FU322" s="64"/>
      <c r="FV322" s="64"/>
      <c r="FW322" s="64"/>
      <c r="FX322" s="64"/>
      <c r="FY322" s="64"/>
      <c r="FZ322" s="64"/>
      <c r="GA322" s="64"/>
      <c r="GB322" s="64"/>
      <c r="GC322" s="64"/>
      <c r="GD322" s="64"/>
      <c r="GE322" s="64"/>
      <c r="GF322" s="64"/>
      <c r="GG322" s="64"/>
      <c r="GH322" s="64"/>
      <c r="GI322" s="64"/>
      <c r="GJ322" s="64"/>
      <c r="GK322" s="64"/>
      <c r="GL322" s="64"/>
      <c r="GM322" s="64"/>
      <c r="GN322" s="64"/>
      <c r="GO322" s="64"/>
      <c r="GP322" s="64"/>
      <c r="GQ322" s="64"/>
      <c r="GR322" s="64"/>
      <c r="GS322" s="64"/>
      <c r="GT322" s="64"/>
      <c r="GU322" s="64"/>
      <c r="GV322" s="64"/>
      <c r="GW322" s="64"/>
      <c r="GX322" s="64"/>
      <c r="GY322" s="64"/>
      <c r="GZ322" s="64"/>
      <c r="HA322" s="64"/>
      <c r="HB322" s="64"/>
      <c r="HC322" s="64"/>
      <c r="HD322" s="64"/>
      <c r="HE322" s="64"/>
      <c r="HF322" s="64"/>
      <c r="HG322" s="64"/>
      <c r="HH322" s="64"/>
      <c r="HI322" s="64"/>
      <c r="HJ322" s="64"/>
      <c r="HK322" s="64"/>
      <c r="HL322" s="64"/>
      <c r="HM322" s="64"/>
      <c r="HN322" s="64"/>
      <c r="HO322" s="64"/>
      <c r="HP322" s="64"/>
      <c r="HQ322" s="64"/>
      <c r="HR322" s="64"/>
      <c r="HS322" s="64"/>
      <c r="HT322" s="64"/>
      <c r="HU322" s="64"/>
      <c r="HV322" s="64"/>
      <c r="HW322" s="64"/>
      <c r="HX322" s="64"/>
      <c r="HY322" s="64"/>
      <c r="HZ322" s="64"/>
      <c r="IA322" s="64"/>
      <c r="IB322" s="64"/>
      <c r="IC322" s="64"/>
      <c r="ID322" s="64"/>
      <c r="IE322" s="64"/>
      <c r="IF322" s="64"/>
      <c r="IG322" s="64"/>
      <c r="IH322" s="64"/>
      <c r="II322" s="64"/>
      <c r="IJ322" s="64"/>
      <c r="IK322" s="64"/>
      <c r="IL322" s="64"/>
      <c r="IM322" s="64"/>
      <c r="IN322" s="64"/>
      <c r="IO322" s="64"/>
      <c r="IP322" s="64"/>
      <c r="IQ322" s="64"/>
      <c r="IR322" s="64"/>
      <c r="IS322" s="64"/>
      <c r="IT322" s="64"/>
      <c r="IU322" s="64"/>
      <c r="IV322" s="64"/>
      <c r="IW322" s="64"/>
      <c r="IX322" s="64"/>
      <c r="IY322" s="64"/>
      <c r="IZ322" s="64"/>
      <c r="JA322" s="64"/>
      <c r="JB322" s="64"/>
      <c r="JC322" s="64"/>
      <c r="JD322" s="64"/>
      <c r="JE322" s="64"/>
      <c r="JF322" s="64"/>
      <c r="JG322" s="64"/>
      <c r="JH322" s="64"/>
      <c r="JI322" s="64"/>
    </row>
    <row r="323" spans="1:269" s="920" customFormat="1" x14ac:dyDescent="0.2">
      <c r="A323" s="116"/>
      <c r="B323" s="64"/>
      <c r="C323" s="64"/>
      <c r="D323" s="64"/>
      <c r="E323" s="64"/>
      <c r="F323" s="64"/>
      <c r="G323" s="64"/>
      <c r="H323" s="64"/>
      <c r="I323" s="64"/>
      <c r="J323" s="116"/>
      <c r="K323" s="116"/>
      <c r="L323" s="116"/>
      <c r="M323" s="116"/>
      <c r="N323" s="116"/>
      <c r="O323" s="116"/>
      <c r="P323" s="116"/>
      <c r="Q323" s="102"/>
      <c r="R323" s="102"/>
      <c r="S323" s="102"/>
      <c r="T323" s="102"/>
      <c r="U323" s="913"/>
      <c r="V323" s="114"/>
      <c r="W323" s="805"/>
      <c r="X323" s="805"/>
      <c r="Y323" s="805"/>
      <c r="Z323" s="914"/>
      <c r="AA323" s="102"/>
      <c r="AB323" s="102"/>
      <c r="AC323" s="102"/>
      <c r="AD323" s="102"/>
      <c r="AE323" s="102"/>
      <c r="AF323" s="102"/>
      <c r="AG323" s="102"/>
      <c r="AH323" s="102"/>
      <c r="AI323" s="102"/>
      <c r="AJ323" s="906"/>
      <c r="AK323" s="102"/>
      <c r="AL323" s="915"/>
      <c r="AM323" s="915"/>
      <c r="AN323" s="114"/>
      <c r="AO323" s="64"/>
      <c r="AP323" s="64"/>
      <c r="AQ323" s="64"/>
      <c r="AR323" s="916"/>
      <c r="AS323" s="916"/>
      <c r="AT323" s="916"/>
      <c r="AU323" s="917"/>
      <c r="AV323" s="917"/>
      <c r="AW323" s="917"/>
      <c r="AX323" s="918"/>
      <c r="AY323" s="916"/>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917"/>
      <c r="CA323" s="917"/>
      <c r="CB323" s="64"/>
      <c r="CC323" s="919"/>
      <c r="CD323" s="919"/>
      <c r="CE323" s="64"/>
      <c r="CF323" s="528"/>
      <c r="CG323" s="529"/>
      <c r="CH323" s="64"/>
      <c r="CI323" s="64"/>
      <c r="CJ323" s="64"/>
      <c r="CK323" s="64"/>
      <c r="CL323" s="64"/>
      <c r="CM323" s="64"/>
      <c r="CN323" s="64"/>
      <c r="CO323" s="64"/>
      <c r="CP323" s="64"/>
      <c r="CQ323" s="64"/>
      <c r="CR323" s="64"/>
      <c r="CS323" s="64"/>
      <c r="CT323" s="64"/>
      <c r="CU323" s="64"/>
      <c r="CV323" s="64"/>
      <c r="CW323" s="64"/>
      <c r="CX323" s="64"/>
      <c r="CY323" s="1011"/>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c r="FC323" s="64"/>
      <c r="FD323" s="64"/>
      <c r="FE323" s="64"/>
      <c r="FF323" s="64"/>
      <c r="FG323" s="64"/>
      <c r="FH323" s="64"/>
      <c r="FI323" s="64"/>
      <c r="FJ323" s="64"/>
      <c r="FK323" s="64"/>
      <c r="FL323" s="64"/>
      <c r="FM323" s="64"/>
      <c r="FN323" s="64"/>
      <c r="FO323" s="64"/>
      <c r="FP323" s="64"/>
      <c r="FQ323" s="64"/>
      <c r="FR323" s="64"/>
      <c r="FS323" s="64"/>
      <c r="FT323" s="64"/>
      <c r="FU323" s="64"/>
      <c r="FV323" s="64"/>
      <c r="FW323" s="64"/>
      <c r="FX323" s="64"/>
      <c r="FY323" s="64"/>
      <c r="FZ323" s="64"/>
      <c r="GA323" s="64"/>
      <c r="GB323" s="64"/>
      <c r="GC323" s="64"/>
      <c r="GD323" s="64"/>
      <c r="GE323" s="64"/>
      <c r="GF323" s="64"/>
      <c r="GG323" s="64"/>
      <c r="GH323" s="64"/>
      <c r="GI323" s="64"/>
      <c r="GJ323" s="64"/>
      <c r="GK323" s="64"/>
      <c r="GL323" s="64"/>
      <c r="GM323" s="64"/>
      <c r="GN323" s="64"/>
      <c r="GO323" s="64"/>
      <c r="GP323" s="64"/>
      <c r="GQ323" s="64"/>
      <c r="GR323" s="64"/>
      <c r="GS323" s="64"/>
      <c r="GT323" s="64"/>
      <c r="GU323" s="64"/>
      <c r="GV323" s="64"/>
      <c r="GW323" s="64"/>
      <c r="GX323" s="64"/>
      <c r="GY323" s="64"/>
      <c r="GZ323" s="64"/>
      <c r="HA323" s="64"/>
      <c r="HB323" s="64"/>
      <c r="HC323" s="64"/>
      <c r="HD323" s="64"/>
      <c r="HE323" s="64"/>
      <c r="HF323" s="64"/>
      <c r="HG323" s="64"/>
      <c r="HH323" s="64"/>
      <c r="HI323" s="64"/>
      <c r="HJ323" s="64"/>
      <c r="HK323" s="64"/>
      <c r="HL323" s="64"/>
      <c r="HM323" s="64"/>
      <c r="HN323" s="64"/>
      <c r="HO323" s="64"/>
      <c r="HP323" s="64"/>
      <c r="HQ323" s="64"/>
      <c r="HR323" s="64"/>
      <c r="HS323" s="64"/>
      <c r="HT323" s="64"/>
      <c r="HU323" s="64"/>
      <c r="HV323" s="64"/>
      <c r="HW323" s="64"/>
      <c r="HX323" s="64"/>
      <c r="HY323" s="64"/>
      <c r="HZ323" s="64"/>
      <c r="IA323" s="64"/>
      <c r="IB323" s="64"/>
      <c r="IC323" s="64"/>
      <c r="ID323" s="64"/>
      <c r="IE323" s="64"/>
      <c r="IF323" s="64"/>
      <c r="IG323" s="64"/>
      <c r="IH323" s="64"/>
      <c r="II323" s="64"/>
      <c r="IJ323" s="64"/>
      <c r="IK323" s="64"/>
      <c r="IL323" s="64"/>
      <c r="IM323" s="64"/>
      <c r="IN323" s="64"/>
      <c r="IO323" s="64"/>
      <c r="IP323" s="64"/>
      <c r="IQ323" s="64"/>
      <c r="IR323" s="64"/>
      <c r="IS323" s="64"/>
      <c r="IT323" s="64"/>
      <c r="IU323" s="64"/>
      <c r="IV323" s="64"/>
      <c r="IW323" s="64"/>
      <c r="IX323" s="64"/>
      <c r="IY323" s="64"/>
      <c r="IZ323" s="64"/>
      <c r="JA323" s="64"/>
      <c r="JB323" s="64"/>
      <c r="JC323" s="64"/>
      <c r="JD323" s="64"/>
      <c r="JE323" s="64"/>
      <c r="JF323" s="64"/>
      <c r="JG323" s="64"/>
      <c r="JH323" s="64"/>
      <c r="JI323" s="64"/>
    </row>
    <row r="324" spans="1:269" s="920" customFormat="1" x14ac:dyDescent="0.2">
      <c r="A324" s="116"/>
      <c r="B324" s="64"/>
      <c r="C324" s="64"/>
      <c r="D324" s="64"/>
      <c r="E324" s="64"/>
      <c r="F324" s="64"/>
      <c r="G324" s="64"/>
      <c r="H324" s="64"/>
      <c r="I324" s="64"/>
      <c r="J324" s="116"/>
      <c r="K324" s="116"/>
      <c r="L324" s="116"/>
      <c r="M324" s="116"/>
      <c r="N324" s="116"/>
      <c r="O324" s="116"/>
      <c r="P324" s="116"/>
      <c r="Q324" s="102"/>
      <c r="R324" s="102"/>
      <c r="S324" s="102"/>
      <c r="T324" s="102"/>
      <c r="U324" s="913"/>
      <c r="V324" s="114"/>
      <c r="W324" s="805"/>
      <c r="X324" s="805"/>
      <c r="Y324" s="805"/>
      <c r="Z324" s="914"/>
      <c r="AA324" s="102"/>
      <c r="AB324" s="102"/>
      <c r="AC324" s="102"/>
      <c r="AD324" s="102"/>
      <c r="AE324" s="102"/>
      <c r="AF324" s="102"/>
      <c r="AG324" s="102"/>
      <c r="AH324" s="102"/>
      <c r="AI324" s="102"/>
      <c r="AJ324" s="906"/>
      <c r="AK324" s="102"/>
      <c r="AL324" s="915"/>
      <c r="AM324" s="915"/>
      <c r="AN324" s="114"/>
      <c r="AO324" s="64"/>
      <c r="AP324" s="64"/>
      <c r="AQ324" s="64"/>
      <c r="AR324" s="916"/>
      <c r="AS324" s="916"/>
      <c r="AT324" s="916"/>
      <c r="AU324" s="917"/>
      <c r="AV324" s="917"/>
      <c r="AW324" s="917"/>
      <c r="AX324" s="918"/>
      <c r="AY324" s="916"/>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917"/>
      <c r="CA324" s="917"/>
      <c r="CB324" s="64"/>
      <c r="CC324" s="919"/>
      <c r="CD324" s="919"/>
      <c r="CE324" s="64"/>
      <c r="CF324" s="528"/>
      <c r="CG324" s="529"/>
      <c r="CH324" s="64"/>
      <c r="CI324" s="64"/>
      <c r="CJ324" s="64"/>
      <c r="CK324" s="64"/>
      <c r="CL324" s="64"/>
      <c r="CM324" s="64"/>
      <c r="CN324" s="64"/>
      <c r="CO324" s="64"/>
      <c r="CP324" s="64"/>
      <c r="CQ324" s="64"/>
      <c r="CR324" s="64"/>
      <c r="CS324" s="64"/>
      <c r="CT324" s="64"/>
      <c r="CU324" s="64"/>
      <c r="CV324" s="64"/>
      <c r="CW324" s="64"/>
      <c r="CX324" s="64"/>
      <c r="CY324" s="1011"/>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c r="FC324" s="64"/>
      <c r="FD324" s="64"/>
      <c r="FE324" s="64"/>
      <c r="FF324" s="64"/>
      <c r="FG324" s="64"/>
      <c r="FH324" s="64"/>
      <c r="FI324" s="64"/>
      <c r="FJ324" s="64"/>
      <c r="FK324" s="64"/>
      <c r="FL324" s="64"/>
      <c r="FM324" s="64"/>
      <c r="FN324" s="64"/>
      <c r="FO324" s="64"/>
      <c r="FP324" s="64"/>
      <c r="FQ324" s="64"/>
      <c r="FR324" s="64"/>
      <c r="FS324" s="64"/>
      <c r="FT324" s="64"/>
      <c r="FU324" s="64"/>
      <c r="FV324" s="64"/>
      <c r="FW324" s="64"/>
      <c r="FX324" s="64"/>
      <c r="FY324" s="64"/>
      <c r="FZ324" s="64"/>
      <c r="GA324" s="64"/>
      <c r="GB324" s="64"/>
      <c r="GC324" s="64"/>
      <c r="GD324" s="64"/>
      <c r="GE324" s="64"/>
      <c r="GF324" s="64"/>
      <c r="GG324" s="64"/>
      <c r="GH324" s="64"/>
      <c r="GI324" s="64"/>
      <c r="GJ324" s="64"/>
      <c r="GK324" s="64"/>
      <c r="GL324" s="64"/>
      <c r="GM324" s="64"/>
      <c r="GN324" s="64"/>
      <c r="GO324" s="64"/>
      <c r="GP324" s="64"/>
      <c r="GQ324" s="64"/>
      <c r="GR324" s="64"/>
      <c r="GS324" s="64"/>
      <c r="GT324" s="64"/>
      <c r="GU324" s="64"/>
      <c r="GV324" s="64"/>
      <c r="GW324" s="64"/>
      <c r="GX324" s="64"/>
      <c r="GY324" s="64"/>
      <c r="GZ324" s="64"/>
      <c r="HA324" s="64"/>
      <c r="HB324" s="64"/>
      <c r="HC324" s="64"/>
      <c r="HD324" s="64"/>
      <c r="HE324" s="64"/>
      <c r="HF324" s="64"/>
      <c r="HG324" s="64"/>
      <c r="HH324" s="64"/>
      <c r="HI324" s="64"/>
      <c r="HJ324" s="64"/>
      <c r="HK324" s="64"/>
      <c r="HL324" s="64"/>
      <c r="HM324" s="64"/>
      <c r="HN324" s="64"/>
      <c r="HO324" s="64"/>
      <c r="HP324" s="64"/>
      <c r="HQ324" s="64"/>
      <c r="HR324" s="64"/>
      <c r="HS324" s="64"/>
      <c r="HT324" s="64"/>
      <c r="HU324" s="64"/>
      <c r="HV324" s="64"/>
      <c r="HW324" s="64"/>
      <c r="HX324" s="64"/>
      <c r="HY324" s="64"/>
      <c r="HZ324" s="64"/>
      <c r="IA324" s="64"/>
      <c r="IB324" s="64"/>
      <c r="IC324" s="64"/>
      <c r="ID324" s="64"/>
      <c r="IE324" s="64"/>
      <c r="IF324" s="64"/>
      <c r="IG324" s="64"/>
      <c r="IH324" s="64"/>
      <c r="II324" s="64"/>
      <c r="IJ324" s="64"/>
      <c r="IK324" s="64"/>
      <c r="IL324" s="64"/>
      <c r="IM324" s="64"/>
      <c r="IN324" s="64"/>
      <c r="IO324" s="64"/>
      <c r="IP324" s="64"/>
      <c r="IQ324" s="64"/>
      <c r="IR324" s="64"/>
      <c r="IS324" s="64"/>
      <c r="IT324" s="64"/>
      <c r="IU324" s="64"/>
      <c r="IV324" s="64"/>
      <c r="IW324" s="64"/>
      <c r="IX324" s="64"/>
      <c r="IY324" s="64"/>
      <c r="IZ324" s="64"/>
      <c r="JA324" s="64"/>
      <c r="JB324" s="64"/>
      <c r="JC324" s="64"/>
      <c r="JD324" s="64"/>
      <c r="JE324" s="64"/>
      <c r="JF324" s="64"/>
      <c r="JG324" s="64"/>
      <c r="JH324" s="64"/>
      <c r="JI324" s="64"/>
    </row>
    <row r="325" spans="1:269" s="920" customFormat="1" x14ac:dyDescent="0.2">
      <c r="A325" s="116"/>
      <c r="B325" s="64"/>
      <c r="C325" s="64"/>
      <c r="D325" s="64"/>
      <c r="E325" s="64"/>
      <c r="F325" s="64"/>
      <c r="G325" s="64"/>
      <c r="H325" s="64"/>
      <c r="I325" s="64"/>
      <c r="J325" s="116"/>
      <c r="K325" s="116"/>
      <c r="L325" s="116"/>
      <c r="M325" s="116"/>
      <c r="N325" s="116"/>
      <c r="O325" s="116"/>
      <c r="P325" s="116"/>
      <c r="Q325" s="102"/>
      <c r="R325" s="102"/>
      <c r="S325" s="102"/>
      <c r="T325" s="102"/>
      <c r="U325" s="913"/>
      <c r="V325" s="114"/>
      <c r="W325" s="805"/>
      <c r="X325" s="805"/>
      <c r="Y325" s="805"/>
      <c r="Z325" s="914"/>
      <c r="AA325" s="102"/>
      <c r="AB325" s="102"/>
      <c r="AC325" s="102"/>
      <c r="AD325" s="102"/>
      <c r="AE325" s="102"/>
      <c r="AF325" s="102"/>
      <c r="AG325" s="102"/>
      <c r="AH325" s="102"/>
      <c r="AI325" s="102"/>
      <c r="AJ325" s="906"/>
      <c r="AK325" s="102"/>
      <c r="AL325" s="915"/>
      <c r="AM325" s="915"/>
      <c r="AN325" s="114"/>
      <c r="AO325" s="64"/>
      <c r="AP325" s="64"/>
      <c r="AQ325" s="64"/>
      <c r="AR325" s="916"/>
      <c r="AS325" s="916"/>
      <c r="AT325" s="916"/>
      <c r="AU325" s="917"/>
      <c r="AV325" s="917"/>
      <c r="AW325" s="917"/>
      <c r="AX325" s="918"/>
      <c r="AY325" s="916"/>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917"/>
      <c r="CA325" s="917"/>
      <c r="CB325" s="64"/>
      <c r="CC325" s="919"/>
      <c r="CD325" s="919"/>
      <c r="CE325" s="64"/>
      <c r="CF325" s="528"/>
      <c r="CG325" s="529"/>
      <c r="CH325" s="64"/>
      <c r="CI325" s="64"/>
      <c r="CJ325" s="64"/>
      <c r="CK325" s="64"/>
      <c r="CL325" s="64"/>
      <c r="CM325" s="64"/>
      <c r="CN325" s="64"/>
      <c r="CO325" s="64"/>
      <c r="CP325" s="64"/>
      <c r="CQ325" s="64"/>
      <c r="CR325" s="64"/>
      <c r="CS325" s="64"/>
      <c r="CT325" s="64"/>
      <c r="CU325" s="64"/>
      <c r="CV325" s="64"/>
      <c r="CW325" s="64"/>
      <c r="CX325" s="64"/>
      <c r="CY325" s="1011"/>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c r="FC325" s="64"/>
      <c r="FD325" s="64"/>
      <c r="FE325" s="64"/>
      <c r="FF325" s="64"/>
      <c r="FG325" s="64"/>
      <c r="FH325" s="64"/>
      <c r="FI325" s="64"/>
      <c r="FJ325" s="64"/>
      <c r="FK325" s="64"/>
      <c r="FL325" s="64"/>
      <c r="FM325" s="64"/>
      <c r="FN325" s="64"/>
      <c r="FO325" s="64"/>
      <c r="FP325" s="64"/>
      <c r="FQ325" s="64"/>
      <c r="FR325" s="64"/>
      <c r="FS325" s="64"/>
      <c r="FT325" s="64"/>
      <c r="FU325" s="64"/>
      <c r="FV325" s="64"/>
      <c r="FW325" s="64"/>
      <c r="FX325" s="64"/>
      <c r="FY325" s="64"/>
      <c r="FZ325" s="64"/>
      <c r="GA325" s="64"/>
      <c r="GB325" s="64"/>
      <c r="GC325" s="64"/>
      <c r="GD325" s="64"/>
      <c r="GE325" s="64"/>
      <c r="GF325" s="64"/>
      <c r="GG325" s="64"/>
      <c r="GH325" s="64"/>
      <c r="GI325" s="64"/>
      <c r="GJ325" s="64"/>
      <c r="GK325" s="64"/>
      <c r="GL325" s="64"/>
      <c r="GM325" s="64"/>
      <c r="GN325" s="64"/>
      <c r="GO325" s="64"/>
      <c r="GP325" s="64"/>
      <c r="GQ325" s="64"/>
      <c r="GR325" s="64"/>
      <c r="GS325" s="64"/>
      <c r="GT325" s="64"/>
      <c r="GU325" s="64"/>
      <c r="GV325" s="64"/>
      <c r="GW325" s="64"/>
      <c r="GX325" s="64"/>
      <c r="GY325" s="64"/>
      <c r="GZ325" s="64"/>
      <c r="HA325" s="64"/>
      <c r="HB325" s="64"/>
      <c r="HC325" s="64"/>
      <c r="HD325" s="64"/>
      <c r="HE325" s="64"/>
      <c r="HF325" s="64"/>
      <c r="HG325" s="64"/>
      <c r="HH325" s="64"/>
      <c r="HI325" s="64"/>
      <c r="HJ325" s="64"/>
      <c r="HK325" s="64"/>
      <c r="HL325" s="64"/>
      <c r="HM325" s="64"/>
      <c r="HN325" s="64"/>
      <c r="HO325" s="64"/>
      <c r="HP325" s="64"/>
      <c r="HQ325" s="64"/>
      <c r="HR325" s="64"/>
      <c r="HS325" s="64"/>
      <c r="HT325" s="64"/>
      <c r="HU325" s="64"/>
      <c r="HV325" s="64"/>
      <c r="HW325" s="64"/>
      <c r="HX325" s="64"/>
      <c r="HY325" s="64"/>
      <c r="HZ325" s="64"/>
      <c r="IA325" s="64"/>
      <c r="IB325" s="64"/>
      <c r="IC325" s="64"/>
      <c r="ID325" s="64"/>
      <c r="IE325" s="64"/>
      <c r="IF325" s="64"/>
      <c r="IG325" s="64"/>
      <c r="IH325" s="64"/>
      <c r="II325" s="64"/>
      <c r="IJ325" s="64"/>
      <c r="IK325" s="64"/>
      <c r="IL325" s="64"/>
      <c r="IM325" s="64"/>
      <c r="IN325" s="64"/>
      <c r="IO325" s="64"/>
      <c r="IP325" s="64"/>
      <c r="IQ325" s="64"/>
      <c r="IR325" s="64"/>
      <c r="IS325" s="64"/>
      <c r="IT325" s="64"/>
      <c r="IU325" s="64"/>
      <c r="IV325" s="64"/>
      <c r="IW325" s="64"/>
      <c r="IX325" s="64"/>
      <c r="IY325" s="64"/>
      <c r="IZ325" s="64"/>
      <c r="JA325" s="64"/>
      <c r="JB325" s="64"/>
      <c r="JC325" s="64"/>
      <c r="JD325" s="64"/>
      <c r="JE325" s="64"/>
      <c r="JF325" s="64"/>
      <c r="JG325" s="64"/>
      <c r="JH325" s="64"/>
      <c r="JI325" s="64"/>
    </row>
    <row r="326" spans="1:269" s="920" customFormat="1" x14ac:dyDescent="0.2">
      <c r="A326" s="116"/>
      <c r="B326" s="64"/>
      <c r="C326" s="64"/>
      <c r="D326" s="64"/>
      <c r="E326" s="64"/>
      <c r="F326" s="64"/>
      <c r="G326" s="64"/>
      <c r="H326" s="64"/>
      <c r="I326" s="64"/>
      <c r="J326" s="116"/>
      <c r="K326" s="116"/>
      <c r="L326" s="116"/>
      <c r="M326" s="116"/>
      <c r="N326" s="116"/>
      <c r="O326" s="116"/>
      <c r="P326" s="116"/>
      <c r="Q326" s="102"/>
      <c r="R326" s="102"/>
      <c r="S326" s="102"/>
      <c r="T326" s="102"/>
      <c r="U326" s="913"/>
      <c r="V326" s="114"/>
      <c r="W326" s="805"/>
      <c r="X326" s="805"/>
      <c r="Y326" s="805"/>
      <c r="Z326" s="914"/>
      <c r="AA326" s="102"/>
      <c r="AB326" s="102"/>
      <c r="AC326" s="102"/>
      <c r="AD326" s="102"/>
      <c r="AE326" s="102"/>
      <c r="AF326" s="102"/>
      <c r="AG326" s="102"/>
      <c r="AH326" s="102"/>
      <c r="AI326" s="102"/>
      <c r="AJ326" s="906"/>
      <c r="AK326" s="102"/>
      <c r="AL326" s="915"/>
      <c r="AM326" s="915"/>
      <c r="AN326" s="114"/>
      <c r="AO326" s="64"/>
      <c r="AP326" s="64"/>
      <c r="AQ326" s="64"/>
      <c r="AR326" s="916"/>
      <c r="AS326" s="916"/>
      <c r="AT326" s="916"/>
      <c r="AU326" s="917"/>
      <c r="AV326" s="917"/>
      <c r="AW326" s="917"/>
      <c r="AX326" s="918"/>
      <c r="AY326" s="916"/>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917"/>
      <c r="CA326" s="917"/>
      <c r="CB326" s="64"/>
      <c r="CC326" s="919"/>
      <c r="CD326" s="919"/>
      <c r="CE326" s="64"/>
      <c r="CF326" s="528"/>
      <c r="CG326" s="529"/>
      <c r="CH326" s="64"/>
      <c r="CI326" s="64"/>
      <c r="CJ326" s="64"/>
      <c r="CK326" s="64"/>
      <c r="CL326" s="64"/>
      <c r="CM326" s="64"/>
      <c r="CN326" s="64"/>
      <c r="CO326" s="64"/>
      <c r="CP326" s="64"/>
      <c r="CQ326" s="64"/>
      <c r="CR326" s="64"/>
      <c r="CS326" s="64"/>
      <c r="CT326" s="64"/>
      <c r="CU326" s="64"/>
      <c r="CV326" s="64"/>
      <c r="CW326" s="64"/>
      <c r="CX326" s="64"/>
      <c r="CY326" s="1011"/>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c r="FC326" s="64"/>
      <c r="FD326" s="64"/>
      <c r="FE326" s="64"/>
      <c r="FF326" s="64"/>
      <c r="FG326" s="64"/>
      <c r="FH326" s="64"/>
      <c r="FI326" s="64"/>
      <c r="FJ326" s="64"/>
      <c r="FK326" s="64"/>
      <c r="FL326" s="64"/>
      <c r="FM326" s="64"/>
      <c r="FN326" s="64"/>
      <c r="FO326" s="64"/>
      <c r="FP326" s="64"/>
      <c r="FQ326" s="64"/>
      <c r="FR326" s="64"/>
      <c r="FS326" s="64"/>
      <c r="FT326" s="64"/>
      <c r="FU326" s="64"/>
      <c r="FV326" s="64"/>
      <c r="FW326" s="64"/>
      <c r="FX326" s="64"/>
      <c r="FY326" s="64"/>
      <c r="FZ326" s="64"/>
      <c r="GA326" s="64"/>
      <c r="GB326" s="64"/>
      <c r="GC326" s="64"/>
      <c r="GD326" s="64"/>
      <c r="GE326" s="64"/>
      <c r="GF326" s="64"/>
      <c r="GG326" s="64"/>
      <c r="GH326" s="64"/>
      <c r="GI326" s="64"/>
      <c r="GJ326" s="64"/>
      <c r="GK326" s="64"/>
      <c r="GL326" s="64"/>
      <c r="GM326" s="64"/>
      <c r="GN326" s="64"/>
      <c r="GO326" s="64"/>
      <c r="GP326" s="64"/>
      <c r="GQ326" s="64"/>
      <c r="GR326" s="64"/>
      <c r="GS326" s="64"/>
      <c r="GT326" s="64"/>
      <c r="GU326" s="64"/>
      <c r="GV326" s="64"/>
      <c r="GW326" s="64"/>
      <c r="GX326" s="64"/>
      <c r="GY326" s="64"/>
      <c r="GZ326" s="64"/>
      <c r="HA326" s="64"/>
      <c r="HB326" s="64"/>
      <c r="HC326" s="64"/>
      <c r="HD326" s="64"/>
      <c r="HE326" s="64"/>
      <c r="HF326" s="64"/>
      <c r="HG326" s="64"/>
      <c r="HH326" s="64"/>
      <c r="HI326" s="64"/>
      <c r="HJ326" s="64"/>
      <c r="HK326" s="64"/>
      <c r="HL326" s="64"/>
      <c r="HM326" s="64"/>
      <c r="HN326" s="64"/>
      <c r="HO326" s="64"/>
      <c r="HP326" s="64"/>
      <c r="HQ326" s="64"/>
      <c r="HR326" s="64"/>
      <c r="HS326" s="64"/>
      <c r="HT326" s="64"/>
      <c r="HU326" s="64"/>
      <c r="HV326" s="64"/>
      <c r="HW326" s="64"/>
      <c r="HX326" s="64"/>
      <c r="HY326" s="64"/>
      <c r="HZ326" s="64"/>
      <c r="IA326" s="64"/>
      <c r="IB326" s="64"/>
      <c r="IC326" s="64"/>
      <c r="ID326" s="64"/>
      <c r="IE326" s="64"/>
      <c r="IF326" s="64"/>
      <c r="IG326" s="64"/>
      <c r="IH326" s="64"/>
      <c r="II326" s="64"/>
      <c r="IJ326" s="64"/>
      <c r="IK326" s="64"/>
      <c r="IL326" s="64"/>
      <c r="IM326" s="64"/>
      <c r="IN326" s="64"/>
      <c r="IO326" s="64"/>
      <c r="IP326" s="64"/>
      <c r="IQ326" s="64"/>
      <c r="IR326" s="64"/>
      <c r="IS326" s="64"/>
      <c r="IT326" s="64"/>
      <c r="IU326" s="64"/>
      <c r="IV326" s="64"/>
      <c r="IW326" s="64"/>
      <c r="IX326" s="64"/>
      <c r="IY326" s="64"/>
      <c r="IZ326" s="64"/>
      <c r="JA326" s="64"/>
      <c r="JB326" s="64"/>
      <c r="JC326" s="64"/>
      <c r="JD326" s="64"/>
      <c r="JE326" s="64"/>
      <c r="JF326" s="64"/>
      <c r="JG326" s="64"/>
      <c r="JH326" s="64"/>
      <c r="JI326" s="64"/>
    </row>
    <row r="327" spans="1:269" s="920" customFormat="1" x14ac:dyDescent="0.2">
      <c r="A327" s="116"/>
      <c r="B327" s="64"/>
      <c r="C327" s="64"/>
      <c r="D327" s="64"/>
      <c r="E327" s="64"/>
      <c r="F327" s="64"/>
      <c r="G327" s="64"/>
      <c r="H327" s="64"/>
      <c r="I327" s="64"/>
      <c r="J327" s="116"/>
      <c r="K327" s="116"/>
      <c r="L327" s="116"/>
      <c r="M327" s="116"/>
      <c r="N327" s="116"/>
      <c r="O327" s="116"/>
      <c r="P327" s="116"/>
      <c r="Q327" s="102"/>
      <c r="R327" s="102"/>
      <c r="S327" s="102"/>
      <c r="T327" s="102"/>
      <c r="U327" s="913"/>
      <c r="V327" s="114"/>
      <c r="W327" s="805"/>
      <c r="X327" s="805"/>
      <c r="Y327" s="805"/>
      <c r="Z327" s="914"/>
      <c r="AA327" s="102"/>
      <c r="AB327" s="102"/>
      <c r="AC327" s="102"/>
      <c r="AD327" s="102"/>
      <c r="AE327" s="102"/>
      <c r="AF327" s="102"/>
      <c r="AG327" s="102"/>
      <c r="AH327" s="102"/>
      <c r="AI327" s="102"/>
      <c r="AJ327" s="906"/>
      <c r="AK327" s="102"/>
      <c r="AL327" s="915"/>
      <c r="AM327" s="915"/>
      <c r="AN327" s="114"/>
      <c r="AO327" s="64"/>
      <c r="AP327" s="64"/>
      <c r="AQ327" s="64"/>
      <c r="AR327" s="916"/>
      <c r="AS327" s="916"/>
      <c r="AT327" s="916"/>
      <c r="AU327" s="917"/>
      <c r="AV327" s="917"/>
      <c r="AW327" s="917"/>
      <c r="AX327" s="918"/>
      <c r="AY327" s="916"/>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917"/>
      <c r="CA327" s="917"/>
      <c r="CB327" s="64"/>
      <c r="CC327" s="919"/>
      <c r="CD327" s="919"/>
      <c r="CE327" s="64"/>
      <c r="CF327" s="528"/>
      <c r="CG327" s="529"/>
      <c r="CH327" s="64"/>
      <c r="CI327" s="64"/>
      <c r="CJ327" s="64"/>
      <c r="CK327" s="64"/>
      <c r="CL327" s="64"/>
      <c r="CM327" s="64"/>
      <c r="CN327" s="64"/>
      <c r="CO327" s="64"/>
      <c r="CP327" s="64"/>
      <c r="CQ327" s="64"/>
      <c r="CR327" s="64"/>
      <c r="CS327" s="64"/>
      <c r="CT327" s="64"/>
      <c r="CU327" s="64"/>
      <c r="CV327" s="64"/>
      <c r="CW327" s="64"/>
      <c r="CX327" s="64"/>
      <c r="CY327" s="1011"/>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c r="FC327" s="64"/>
      <c r="FD327" s="64"/>
      <c r="FE327" s="64"/>
      <c r="FF327" s="64"/>
      <c r="FG327" s="64"/>
      <c r="FH327" s="64"/>
      <c r="FI327" s="64"/>
      <c r="FJ327" s="64"/>
      <c r="FK327" s="64"/>
      <c r="FL327" s="64"/>
      <c r="FM327" s="64"/>
      <c r="FN327" s="64"/>
      <c r="FO327" s="64"/>
      <c r="FP327" s="64"/>
      <c r="FQ327" s="64"/>
      <c r="FR327" s="64"/>
      <c r="FS327" s="64"/>
      <c r="FT327" s="64"/>
      <c r="FU327" s="64"/>
      <c r="FV327" s="64"/>
      <c r="FW327" s="64"/>
      <c r="FX327" s="64"/>
      <c r="FY327" s="64"/>
      <c r="FZ327" s="64"/>
      <c r="GA327" s="64"/>
      <c r="GB327" s="64"/>
      <c r="GC327" s="64"/>
      <c r="GD327" s="64"/>
      <c r="GE327" s="64"/>
      <c r="GF327" s="64"/>
      <c r="GG327" s="64"/>
      <c r="GH327" s="64"/>
      <c r="GI327" s="64"/>
      <c r="GJ327" s="64"/>
      <c r="GK327" s="64"/>
      <c r="GL327" s="64"/>
      <c r="GM327" s="64"/>
      <c r="GN327" s="64"/>
      <c r="GO327" s="64"/>
      <c r="GP327" s="64"/>
      <c r="GQ327" s="64"/>
      <c r="GR327" s="64"/>
      <c r="GS327" s="64"/>
      <c r="GT327" s="64"/>
      <c r="GU327" s="64"/>
      <c r="GV327" s="64"/>
      <c r="GW327" s="64"/>
      <c r="GX327" s="64"/>
      <c r="GY327" s="64"/>
      <c r="GZ327" s="64"/>
      <c r="HA327" s="64"/>
      <c r="HB327" s="64"/>
      <c r="HC327" s="64"/>
      <c r="HD327" s="64"/>
      <c r="HE327" s="64"/>
      <c r="HF327" s="64"/>
      <c r="HG327" s="64"/>
      <c r="HH327" s="64"/>
      <c r="HI327" s="64"/>
      <c r="HJ327" s="64"/>
      <c r="HK327" s="64"/>
      <c r="HL327" s="64"/>
      <c r="HM327" s="64"/>
      <c r="HN327" s="64"/>
      <c r="HO327" s="64"/>
      <c r="HP327" s="64"/>
      <c r="HQ327" s="64"/>
      <c r="HR327" s="64"/>
      <c r="HS327" s="64"/>
      <c r="HT327" s="64"/>
      <c r="HU327" s="64"/>
      <c r="HV327" s="64"/>
      <c r="HW327" s="64"/>
      <c r="HX327" s="64"/>
      <c r="HY327" s="64"/>
      <c r="HZ327" s="64"/>
      <c r="IA327" s="64"/>
      <c r="IB327" s="64"/>
      <c r="IC327" s="64"/>
      <c r="ID327" s="64"/>
      <c r="IE327" s="64"/>
      <c r="IF327" s="64"/>
      <c r="IG327" s="64"/>
      <c r="IH327" s="64"/>
      <c r="II327" s="64"/>
      <c r="IJ327" s="64"/>
      <c r="IK327" s="64"/>
      <c r="IL327" s="64"/>
      <c r="IM327" s="64"/>
      <c r="IN327" s="64"/>
      <c r="IO327" s="64"/>
      <c r="IP327" s="64"/>
      <c r="IQ327" s="64"/>
      <c r="IR327" s="64"/>
      <c r="IS327" s="64"/>
      <c r="IT327" s="64"/>
      <c r="IU327" s="64"/>
      <c r="IV327" s="64"/>
      <c r="IW327" s="64"/>
      <c r="IX327" s="64"/>
      <c r="IY327" s="64"/>
      <c r="IZ327" s="64"/>
      <c r="JA327" s="64"/>
      <c r="JB327" s="64"/>
      <c r="JC327" s="64"/>
      <c r="JD327" s="64"/>
      <c r="JE327" s="64"/>
      <c r="JF327" s="64"/>
      <c r="JG327" s="64"/>
      <c r="JH327" s="64"/>
      <c r="JI327" s="64"/>
    </row>
    <row r="328" spans="1:269" s="920" customFormat="1" x14ac:dyDescent="0.2">
      <c r="A328" s="116"/>
      <c r="B328" s="64"/>
      <c r="C328" s="64"/>
      <c r="D328" s="64"/>
      <c r="E328" s="64"/>
      <c r="F328" s="64"/>
      <c r="G328" s="64"/>
      <c r="H328" s="64"/>
      <c r="I328" s="64"/>
      <c r="J328" s="116"/>
      <c r="K328" s="116"/>
      <c r="L328" s="116"/>
      <c r="M328" s="116"/>
      <c r="N328" s="116"/>
      <c r="O328" s="116"/>
      <c r="P328" s="116"/>
      <c r="Q328" s="102"/>
      <c r="R328" s="102"/>
      <c r="S328" s="102"/>
      <c r="T328" s="102"/>
      <c r="U328" s="913"/>
      <c r="V328" s="114"/>
      <c r="W328" s="805"/>
      <c r="X328" s="805"/>
      <c r="Y328" s="805"/>
      <c r="Z328" s="914"/>
      <c r="AA328" s="102"/>
      <c r="AB328" s="102"/>
      <c r="AC328" s="102"/>
      <c r="AD328" s="102"/>
      <c r="AE328" s="102"/>
      <c r="AF328" s="102"/>
      <c r="AG328" s="102"/>
      <c r="AH328" s="102"/>
      <c r="AI328" s="102"/>
      <c r="AJ328" s="906"/>
      <c r="AK328" s="102"/>
      <c r="AL328" s="915"/>
      <c r="AM328" s="915"/>
      <c r="AN328" s="114"/>
      <c r="AO328" s="64"/>
      <c r="AP328" s="64"/>
      <c r="AQ328" s="64"/>
      <c r="AR328" s="916"/>
      <c r="AS328" s="916"/>
      <c r="AT328" s="916"/>
      <c r="AU328" s="917"/>
      <c r="AV328" s="917"/>
      <c r="AW328" s="917"/>
      <c r="AX328" s="918"/>
      <c r="AY328" s="916"/>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917"/>
      <c r="CA328" s="917"/>
      <c r="CB328" s="64"/>
      <c r="CC328" s="919"/>
      <c r="CD328" s="919"/>
      <c r="CE328" s="64"/>
      <c r="CF328" s="528"/>
      <c r="CG328" s="529"/>
      <c r="CH328" s="64"/>
      <c r="CI328" s="64"/>
      <c r="CJ328" s="64"/>
      <c r="CK328" s="64"/>
      <c r="CL328" s="64"/>
      <c r="CM328" s="64"/>
      <c r="CN328" s="64"/>
      <c r="CO328" s="64"/>
      <c r="CP328" s="64"/>
      <c r="CQ328" s="64"/>
      <c r="CR328" s="64"/>
      <c r="CS328" s="64"/>
      <c r="CT328" s="64"/>
      <c r="CU328" s="64"/>
      <c r="CV328" s="64"/>
      <c r="CW328" s="64"/>
      <c r="CX328" s="64"/>
      <c r="CY328" s="1011"/>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c r="FC328" s="64"/>
      <c r="FD328" s="64"/>
      <c r="FE328" s="64"/>
      <c r="FF328" s="64"/>
      <c r="FG328" s="64"/>
      <c r="FH328" s="64"/>
      <c r="FI328" s="64"/>
      <c r="FJ328" s="64"/>
      <c r="FK328" s="64"/>
      <c r="FL328" s="64"/>
      <c r="FM328" s="64"/>
      <c r="FN328" s="64"/>
      <c r="FO328" s="64"/>
      <c r="FP328" s="64"/>
      <c r="FQ328" s="64"/>
      <c r="FR328" s="64"/>
      <c r="FS328" s="64"/>
      <c r="FT328" s="64"/>
      <c r="FU328" s="64"/>
      <c r="FV328" s="64"/>
      <c r="FW328" s="64"/>
      <c r="FX328" s="64"/>
      <c r="FY328" s="64"/>
      <c r="FZ328" s="64"/>
      <c r="GA328" s="64"/>
      <c r="GB328" s="64"/>
      <c r="GC328" s="64"/>
      <c r="GD328" s="64"/>
      <c r="GE328" s="64"/>
      <c r="GF328" s="64"/>
      <c r="GG328" s="64"/>
      <c r="GH328" s="64"/>
      <c r="GI328" s="64"/>
      <c r="GJ328" s="64"/>
      <c r="GK328" s="64"/>
      <c r="GL328" s="64"/>
      <c r="GM328" s="64"/>
      <c r="GN328" s="64"/>
      <c r="GO328" s="64"/>
      <c r="GP328" s="64"/>
      <c r="GQ328" s="64"/>
      <c r="GR328" s="64"/>
      <c r="GS328" s="64"/>
      <c r="GT328" s="64"/>
      <c r="GU328" s="64"/>
      <c r="GV328" s="64"/>
      <c r="GW328" s="64"/>
      <c r="GX328" s="64"/>
      <c r="GY328" s="64"/>
      <c r="GZ328" s="64"/>
      <c r="HA328" s="64"/>
      <c r="HB328" s="64"/>
      <c r="HC328" s="64"/>
      <c r="HD328" s="64"/>
      <c r="HE328" s="64"/>
      <c r="HF328" s="64"/>
      <c r="HG328" s="64"/>
      <c r="HH328" s="64"/>
      <c r="HI328" s="64"/>
      <c r="HJ328" s="64"/>
      <c r="HK328" s="64"/>
      <c r="HL328" s="64"/>
      <c r="HM328" s="64"/>
      <c r="HN328" s="64"/>
      <c r="HO328" s="64"/>
      <c r="HP328" s="64"/>
      <c r="HQ328" s="64"/>
      <c r="HR328" s="64"/>
      <c r="HS328" s="64"/>
      <c r="HT328" s="64"/>
      <c r="HU328" s="64"/>
      <c r="HV328" s="64"/>
      <c r="HW328" s="64"/>
      <c r="HX328" s="64"/>
      <c r="HY328" s="64"/>
      <c r="HZ328" s="64"/>
      <c r="IA328" s="64"/>
      <c r="IB328" s="64"/>
      <c r="IC328" s="64"/>
      <c r="ID328" s="64"/>
      <c r="IE328" s="64"/>
      <c r="IF328" s="64"/>
      <c r="IG328" s="64"/>
      <c r="IH328" s="64"/>
      <c r="II328" s="64"/>
      <c r="IJ328" s="64"/>
      <c r="IK328" s="64"/>
      <c r="IL328" s="64"/>
      <c r="IM328" s="64"/>
      <c r="IN328" s="64"/>
      <c r="IO328" s="64"/>
      <c r="IP328" s="64"/>
      <c r="IQ328" s="64"/>
      <c r="IR328" s="64"/>
      <c r="IS328" s="64"/>
      <c r="IT328" s="64"/>
      <c r="IU328" s="64"/>
      <c r="IV328" s="64"/>
      <c r="IW328" s="64"/>
      <c r="IX328" s="64"/>
      <c r="IY328" s="64"/>
      <c r="IZ328" s="64"/>
      <c r="JA328" s="64"/>
      <c r="JB328" s="64"/>
      <c r="JC328" s="64"/>
      <c r="JD328" s="64"/>
      <c r="JE328" s="64"/>
      <c r="JF328" s="64"/>
      <c r="JG328" s="64"/>
      <c r="JH328" s="64"/>
      <c r="JI328" s="64"/>
    </row>
    <row r="329" spans="1:269" s="920" customFormat="1" x14ac:dyDescent="0.2">
      <c r="A329" s="116"/>
      <c r="B329" s="64"/>
      <c r="C329" s="64"/>
      <c r="D329" s="64"/>
      <c r="E329" s="64"/>
      <c r="F329" s="64"/>
      <c r="G329" s="64"/>
      <c r="H329" s="64"/>
      <c r="I329" s="64"/>
      <c r="J329" s="116"/>
      <c r="K329" s="116"/>
      <c r="L329" s="116"/>
      <c r="M329" s="116"/>
      <c r="N329" s="116"/>
      <c r="O329" s="116"/>
      <c r="P329" s="116"/>
      <c r="Q329" s="102"/>
      <c r="R329" s="102"/>
      <c r="S329" s="102"/>
      <c r="T329" s="102"/>
      <c r="U329" s="913"/>
      <c r="V329" s="114"/>
      <c r="W329" s="805"/>
      <c r="X329" s="805"/>
      <c r="Y329" s="805"/>
      <c r="Z329" s="914"/>
      <c r="AA329" s="102"/>
      <c r="AB329" s="102"/>
      <c r="AC329" s="102"/>
      <c r="AD329" s="102"/>
      <c r="AE329" s="102"/>
      <c r="AF329" s="102"/>
      <c r="AG329" s="102"/>
      <c r="AH329" s="102"/>
      <c r="AI329" s="102"/>
      <c r="AJ329" s="906"/>
      <c r="AK329" s="102"/>
      <c r="AL329" s="915"/>
      <c r="AM329" s="915"/>
      <c r="AN329" s="114"/>
      <c r="AO329" s="64"/>
      <c r="AP329" s="64"/>
      <c r="AQ329" s="64"/>
      <c r="AR329" s="916"/>
      <c r="AS329" s="916"/>
      <c r="AT329" s="916"/>
      <c r="AU329" s="917"/>
      <c r="AV329" s="917"/>
      <c r="AW329" s="917"/>
      <c r="AX329" s="918"/>
      <c r="AY329" s="916"/>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917"/>
      <c r="CA329" s="917"/>
      <c r="CB329" s="64"/>
      <c r="CC329" s="919"/>
      <c r="CD329" s="919"/>
      <c r="CE329" s="64"/>
      <c r="CF329" s="528"/>
      <c r="CG329" s="529"/>
      <c r="CH329" s="64"/>
      <c r="CI329" s="64"/>
      <c r="CJ329" s="64"/>
      <c r="CK329" s="64"/>
      <c r="CL329" s="64"/>
      <c r="CM329" s="64"/>
      <c r="CN329" s="64"/>
      <c r="CO329" s="64"/>
      <c r="CP329" s="64"/>
      <c r="CQ329" s="64"/>
      <c r="CR329" s="64"/>
      <c r="CS329" s="64"/>
      <c r="CT329" s="64"/>
      <c r="CU329" s="64"/>
      <c r="CV329" s="64"/>
      <c r="CW329" s="64"/>
      <c r="CX329" s="64"/>
      <c r="CY329" s="1011"/>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c r="FC329" s="64"/>
      <c r="FD329" s="64"/>
      <c r="FE329" s="64"/>
      <c r="FF329" s="64"/>
      <c r="FG329" s="64"/>
      <c r="FH329" s="64"/>
      <c r="FI329" s="64"/>
      <c r="FJ329" s="64"/>
      <c r="FK329" s="64"/>
      <c r="FL329" s="64"/>
      <c r="FM329" s="64"/>
      <c r="FN329" s="64"/>
      <c r="FO329" s="64"/>
      <c r="FP329" s="64"/>
      <c r="FQ329" s="64"/>
      <c r="FR329" s="64"/>
      <c r="FS329" s="64"/>
      <c r="FT329" s="64"/>
      <c r="FU329" s="64"/>
      <c r="FV329" s="64"/>
      <c r="FW329" s="64"/>
      <c r="FX329" s="64"/>
      <c r="FY329" s="64"/>
      <c r="FZ329" s="64"/>
      <c r="GA329" s="64"/>
      <c r="GB329" s="64"/>
      <c r="GC329" s="64"/>
      <c r="GD329" s="64"/>
      <c r="GE329" s="64"/>
      <c r="GF329" s="64"/>
      <c r="GG329" s="64"/>
      <c r="GH329" s="64"/>
      <c r="GI329" s="64"/>
      <c r="GJ329" s="64"/>
      <c r="GK329" s="64"/>
      <c r="GL329" s="64"/>
      <c r="GM329" s="64"/>
      <c r="GN329" s="64"/>
      <c r="GO329" s="64"/>
      <c r="GP329" s="64"/>
      <c r="GQ329" s="64"/>
      <c r="GR329" s="64"/>
      <c r="GS329" s="64"/>
      <c r="GT329" s="64"/>
      <c r="GU329" s="64"/>
      <c r="GV329" s="64"/>
      <c r="GW329" s="64"/>
      <c r="GX329" s="64"/>
      <c r="GY329" s="64"/>
      <c r="GZ329" s="64"/>
      <c r="HA329" s="64"/>
      <c r="HB329" s="64"/>
      <c r="HC329" s="64"/>
      <c r="HD329" s="64"/>
      <c r="HE329" s="64"/>
      <c r="HF329" s="64"/>
      <c r="HG329" s="64"/>
      <c r="HH329" s="64"/>
      <c r="HI329" s="64"/>
      <c r="HJ329" s="64"/>
      <c r="HK329" s="64"/>
      <c r="HL329" s="64"/>
      <c r="HM329" s="64"/>
      <c r="HN329" s="64"/>
      <c r="HO329" s="64"/>
      <c r="HP329" s="64"/>
      <c r="HQ329" s="64"/>
      <c r="HR329" s="64"/>
      <c r="HS329" s="64"/>
      <c r="HT329" s="64"/>
      <c r="HU329" s="64"/>
      <c r="HV329" s="64"/>
      <c r="HW329" s="64"/>
      <c r="HX329" s="64"/>
      <c r="HY329" s="64"/>
      <c r="HZ329" s="64"/>
      <c r="IA329" s="64"/>
      <c r="IB329" s="64"/>
      <c r="IC329" s="64"/>
      <c r="ID329" s="64"/>
      <c r="IE329" s="64"/>
      <c r="IF329" s="64"/>
      <c r="IG329" s="64"/>
      <c r="IH329" s="64"/>
      <c r="II329" s="64"/>
      <c r="IJ329" s="64"/>
      <c r="IK329" s="64"/>
      <c r="IL329" s="64"/>
      <c r="IM329" s="64"/>
      <c r="IN329" s="64"/>
      <c r="IO329" s="64"/>
      <c r="IP329" s="64"/>
      <c r="IQ329" s="64"/>
      <c r="IR329" s="64"/>
      <c r="IS329" s="64"/>
      <c r="IT329" s="64"/>
      <c r="IU329" s="64"/>
      <c r="IV329" s="64"/>
      <c r="IW329" s="64"/>
      <c r="IX329" s="64"/>
      <c r="IY329" s="64"/>
      <c r="IZ329" s="64"/>
      <c r="JA329" s="64"/>
      <c r="JB329" s="64"/>
      <c r="JC329" s="64"/>
      <c r="JD329" s="64"/>
      <c r="JE329" s="64"/>
      <c r="JF329" s="64"/>
      <c r="JG329" s="64"/>
      <c r="JH329" s="64"/>
      <c r="JI329" s="64"/>
    </row>
    <row r="330" spans="1:269" s="920" customFormat="1" x14ac:dyDescent="0.2">
      <c r="A330" s="116"/>
      <c r="B330" s="64"/>
      <c r="C330" s="64"/>
      <c r="D330" s="64"/>
      <c r="E330" s="64"/>
      <c r="F330" s="64"/>
      <c r="G330" s="64"/>
      <c r="H330" s="64"/>
      <c r="I330" s="64"/>
      <c r="J330" s="116"/>
      <c r="K330" s="116"/>
      <c r="L330" s="116"/>
      <c r="M330" s="116"/>
      <c r="N330" s="116"/>
      <c r="O330" s="116"/>
      <c r="P330" s="116"/>
      <c r="Q330" s="102"/>
      <c r="R330" s="102"/>
      <c r="S330" s="102"/>
      <c r="T330" s="102"/>
      <c r="U330" s="913"/>
      <c r="V330" s="114"/>
      <c r="W330" s="805"/>
      <c r="X330" s="805"/>
      <c r="Y330" s="805"/>
      <c r="Z330" s="914"/>
      <c r="AA330" s="102"/>
      <c r="AB330" s="102"/>
      <c r="AC330" s="102"/>
      <c r="AD330" s="102"/>
      <c r="AE330" s="102"/>
      <c r="AF330" s="102"/>
      <c r="AG330" s="102"/>
      <c r="AH330" s="102"/>
      <c r="AI330" s="102"/>
      <c r="AJ330" s="906"/>
      <c r="AK330" s="102"/>
      <c r="AL330" s="915"/>
      <c r="AM330" s="915"/>
      <c r="AN330" s="114"/>
      <c r="AO330" s="64"/>
      <c r="AP330" s="64"/>
      <c r="AQ330" s="64"/>
      <c r="AR330" s="916"/>
      <c r="AS330" s="916"/>
      <c r="AT330" s="916"/>
      <c r="AU330" s="917"/>
      <c r="AV330" s="917"/>
      <c r="AW330" s="917"/>
      <c r="AX330" s="918"/>
      <c r="AY330" s="916"/>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917"/>
      <c r="CA330" s="917"/>
      <c r="CB330" s="64"/>
      <c r="CC330" s="919"/>
      <c r="CD330" s="919"/>
      <c r="CE330" s="64"/>
      <c r="CF330" s="528"/>
      <c r="CG330" s="529"/>
      <c r="CH330" s="64"/>
      <c r="CI330" s="64"/>
      <c r="CJ330" s="64"/>
      <c r="CK330" s="64"/>
      <c r="CL330" s="64"/>
      <c r="CM330" s="64"/>
      <c r="CN330" s="64"/>
      <c r="CO330" s="64"/>
      <c r="CP330" s="64"/>
      <c r="CQ330" s="64"/>
      <c r="CR330" s="64"/>
      <c r="CS330" s="64"/>
      <c r="CT330" s="64"/>
      <c r="CU330" s="64"/>
      <c r="CV330" s="64"/>
      <c r="CW330" s="64"/>
      <c r="CX330" s="64"/>
      <c r="CY330" s="1011"/>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c r="FC330" s="64"/>
      <c r="FD330" s="64"/>
      <c r="FE330" s="64"/>
      <c r="FF330" s="64"/>
      <c r="FG330" s="64"/>
      <c r="FH330" s="64"/>
      <c r="FI330" s="64"/>
      <c r="FJ330" s="64"/>
      <c r="FK330" s="64"/>
      <c r="FL330" s="64"/>
      <c r="FM330" s="64"/>
      <c r="FN330" s="64"/>
      <c r="FO330" s="64"/>
      <c r="FP330" s="64"/>
      <c r="FQ330" s="64"/>
      <c r="FR330" s="64"/>
      <c r="FS330" s="64"/>
      <c r="FT330" s="64"/>
      <c r="FU330" s="64"/>
      <c r="FV330" s="64"/>
      <c r="FW330" s="64"/>
      <c r="FX330" s="64"/>
      <c r="FY330" s="64"/>
      <c r="FZ330" s="64"/>
      <c r="GA330" s="64"/>
      <c r="GB330" s="64"/>
      <c r="GC330" s="64"/>
      <c r="GD330" s="64"/>
      <c r="GE330" s="64"/>
      <c r="GF330" s="64"/>
      <c r="GG330" s="64"/>
      <c r="GH330" s="64"/>
      <c r="GI330" s="64"/>
      <c r="GJ330" s="64"/>
      <c r="GK330" s="64"/>
      <c r="GL330" s="64"/>
      <c r="GM330" s="64"/>
      <c r="GN330" s="64"/>
      <c r="GO330" s="64"/>
      <c r="GP330" s="64"/>
      <c r="GQ330" s="64"/>
      <c r="GR330" s="64"/>
      <c r="GS330" s="64"/>
      <c r="GT330" s="64"/>
      <c r="GU330" s="64"/>
      <c r="GV330" s="64"/>
      <c r="GW330" s="64"/>
      <c r="GX330" s="64"/>
      <c r="GY330" s="64"/>
      <c r="GZ330" s="64"/>
      <c r="HA330" s="64"/>
      <c r="HB330" s="64"/>
      <c r="HC330" s="64"/>
      <c r="HD330" s="64"/>
      <c r="HE330" s="64"/>
      <c r="HF330" s="64"/>
      <c r="HG330" s="64"/>
      <c r="HH330" s="64"/>
      <c r="HI330" s="64"/>
      <c r="HJ330" s="64"/>
      <c r="HK330" s="64"/>
      <c r="HL330" s="64"/>
      <c r="HM330" s="64"/>
      <c r="HN330" s="64"/>
      <c r="HO330" s="64"/>
      <c r="HP330" s="64"/>
      <c r="HQ330" s="64"/>
      <c r="HR330" s="64"/>
      <c r="HS330" s="64"/>
      <c r="HT330" s="64"/>
      <c r="HU330" s="64"/>
      <c r="HV330" s="64"/>
      <c r="HW330" s="64"/>
      <c r="HX330" s="64"/>
      <c r="HY330" s="64"/>
      <c r="HZ330" s="64"/>
      <c r="IA330" s="64"/>
      <c r="IB330" s="64"/>
      <c r="IC330" s="64"/>
      <c r="ID330" s="64"/>
      <c r="IE330" s="64"/>
      <c r="IF330" s="64"/>
      <c r="IG330" s="64"/>
      <c r="IH330" s="64"/>
      <c r="II330" s="64"/>
      <c r="IJ330" s="64"/>
      <c r="IK330" s="64"/>
      <c r="IL330" s="64"/>
      <c r="IM330" s="64"/>
      <c r="IN330" s="64"/>
      <c r="IO330" s="64"/>
      <c r="IP330" s="64"/>
      <c r="IQ330" s="64"/>
      <c r="IR330" s="64"/>
      <c r="IS330" s="64"/>
      <c r="IT330" s="64"/>
      <c r="IU330" s="64"/>
      <c r="IV330" s="64"/>
      <c r="IW330" s="64"/>
      <c r="IX330" s="64"/>
      <c r="IY330" s="64"/>
      <c r="IZ330" s="64"/>
      <c r="JA330" s="64"/>
      <c r="JB330" s="64"/>
      <c r="JC330" s="64"/>
      <c r="JD330" s="64"/>
      <c r="JE330" s="64"/>
      <c r="JF330" s="64"/>
      <c r="JG330" s="64"/>
      <c r="JH330" s="64"/>
      <c r="JI330" s="64"/>
    </row>
    <row r="331" spans="1:269" s="920" customFormat="1" x14ac:dyDescent="0.2">
      <c r="A331" s="116"/>
      <c r="B331" s="64"/>
      <c r="C331" s="64"/>
      <c r="D331" s="64"/>
      <c r="E331" s="64"/>
      <c r="F331" s="64"/>
      <c r="G331" s="64"/>
      <c r="H331" s="64"/>
      <c r="I331" s="64"/>
      <c r="J331" s="116"/>
      <c r="K331" s="116"/>
      <c r="L331" s="116"/>
      <c r="M331" s="116"/>
      <c r="N331" s="116"/>
      <c r="O331" s="116"/>
      <c r="P331" s="116"/>
      <c r="Q331" s="102"/>
      <c r="R331" s="102"/>
      <c r="S331" s="102"/>
      <c r="T331" s="102"/>
      <c r="U331" s="913"/>
      <c r="V331" s="114"/>
      <c r="W331" s="805"/>
      <c r="X331" s="805"/>
      <c r="Y331" s="805"/>
      <c r="Z331" s="914"/>
      <c r="AA331" s="102"/>
      <c r="AB331" s="102"/>
      <c r="AC331" s="102"/>
      <c r="AD331" s="102"/>
      <c r="AE331" s="102"/>
      <c r="AF331" s="102"/>
      <c r="AG331" s="102"/>
      <c r="AH331" s="102"/>
      <c r="AI331" s="102"/>
      <c r="AJ331" s="906"/>
      <c r="AK331" s="102"/>
      <c r="AL331" s="915"/>
      <c r="AM331" s="915"/>
      <c r="AN331" s="114"/>
      <c r="AO331" s="64"/>
      <c r="AP331" s="64"/>
      <c r="AQ331" s="64"/>
      <c r="AR331" s="916"/>
      <c r="AS331" s="916"/>
      <c r="AT331" s="916"/>
      <c r="AU331" s="917"/>
      <c r="AV331" s="917"/>
      <c r="AW331" s="917"/>
      <c r="AX331" s="918"/>
      <c r="AY331" s="916"/>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917"/>
      <c r="CA331" s="917"/>
      <c r="CB331" s="64"/>
      <c r="CC331" s="919"/>
      <c r="CD331" s="919"/>
      <c r="CE331" s="64"/>
      <c r="CF331" s="528"/>
      <c r="CG331" s="529"/>
      <c r="CH331" s="64"/>
      <c r="CI331" s="64"/>
      <c r="CJ331" s="64"/>
      <c r="CK331" s="64"/>
      <c r="CL331" s="64"/>
      <c r="CM331" s="64"/>
      <c r="CN331" s="64"/>
      <c r="CO331" s="64"/>
      <c r="CP331" s="64"/>
      <c r="CQ331" s="64"/>
      <c r="CR331" s="64"/>
      <c r="CS331" s="64"/>
      <c r="CT331" s="64"/>
      <c r="CU331" s="64"/>
      <c r="CV331" s="64"/>
      <c r="CW331" s="64"/>
      <c r="CX331" s="64"/>
      <c r="CY331" s="1011"/>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c r="FC331" s="64"/>
      <c r="FD331" s="64"/>
      <c r="FE331" s="64"/>
      <c r="FF331" s="64"/>
      <c r="FG331" s="64"/>
      <c r="FH331" s="64"/>
      <c r="FI331" s="64"/>
      <c r="FJ331" s="64"/>
      <c r="FK331" s="64"/>
      <c r="FL331" s="64"/>
      <c r="FM331" s="64"/>
      <c r="FN331" s="64"/>
      <c r="FO331" s="64"/>
      <c r="FP331" s="64"/>
      <c r="FQ331" s="64"/>
      <c r="FR331" s="64"/>
      <c r="FS331" s="64"/>
      <c r="FT331" s="64"/>
      <c r="FU331" s="64"/>
      <c r="FV331" s="64"/>
      <c r="FW331" s="64"/>
      <c r="FX331" s="64"/>
      <c r="FY331" s="64"/>
      <c r="FZ331" s="64"/>
      <c r="GA331" s="64"/>
      <c r="GB331" s="64"/>
      <c r="GC331" s="64"/>
      <c r="GD331" s="64"/>
      <c r="GE331" s="64"/>
      <c r="GF331" s="64"/>
      <c r="GG331" s="64"/>
      <c r="GH331" s="64"/>
      <c r="GI331" s="64"/>
      <c r="GJ331" s="64"/>
      <c r="GK331" s="64"/>
      <c r="GL331" s="64"/>
      <c r="GM331" s="64"/>
      <c r="GN331" s="64"/>
      <c r="GO331" s="64"/>
      <c r="GP331" s="64"/>
      <c r="GQ331" s="64"/>
      <c r="GR331" s="64"/>
      <c r="GS331" s="64"/>
      <c r="GT331" s="64"/>
      <c r="GU331" s="64"/>
      <c r="GV331" s="64"/>
      <c r="GW331" s="64"/>
      <c r="GX331" s="64"/>
      <c r="GY331" s="64"/>
      <c r="GZ331" s="64"/>
      <c r="HA331" s="64"/>
      <c r="HB331" s="64"/>
      <c r="HC331" s="64"/>
      <c r="HD331" s="64"/>
      <c r="HE331" s="64"/>
      <c r="HF331" s="64"/>
      <c r="HG331" s="64"/>
      <c r="HH331" s="64"/>
      <c r="HI331" s="64"/>
      <c r="HJ331" s="64"/>
      <c r="HK331" s="64"/>
      <c r="HL331" s="64"/>
      <c r="HM331" s="64"/>
      <c r="HN331" s="64"/>
      <c r="HO331" s="64"/>
      <c r="HP331" s="64"/>
      <c r="HQ331" s="64"/>
      <c r="HR331" s="64"/>
      <c r="HS331" s="64"/>
      <c r="HT331" s="64"/>
      <c r="HU331" s="64"/>
      <c r="HV331" s="64"/>
      <c r="HW331" s="64"/>
      <c r="HX331" s="64"/>
      <c r="HY331" s="64"/>
      <c r="HZ331" s="64"/>
      <c r="IA331" s="64"/>
      <c r="IB331" s="64"/>
      <c r="IC331" s="64"/>
      <c r="ID331" s="64"/>
      <c r="IE331" s="64"/>
      <c r="IF331" s="64"/>
      <c r="IG331" s="64"/>
      <c r="IH331" s="64"/>
      <c r="II331" s="64"/>
      <c r="IJ331" s="64"/>
      <c r="IK331" s="64"/>
      <c r="IL331" s="64"/>
      <c r="IM331" s="64"/>
      <c r="IN331" s="64"/>
      <c r="IO331" s="64"/>
      <c r="IP331" s="64"/>
      <c r="IQ331" s="64"/>
      <c r="IR331" s="64"/>
      <c r="IS331" s="64"/>
      <c r="IT331" s="64"/>
      <c r="IU331" s="64"/>
      <c r="IV331" s="64"/>
      <c r="IW331" s="64"/>
      <c r="IX331" s="64"/>
      <c r="IY331" s="64"/>
      <c r="IZ331" s="64"/>
      <c r="JA331" s="64"/>
      <c r="JB331" s="64"/>
      <c r="JC331" s="64"/>
      <c r="JD331" s="64"/>
      <c r="JE331" s="64"/>
      <c r="JF331" s="64"/>
      <c r="JG331" s="64"/>
      <c r="JH331" s="64"/>
      <c r="JI331" s="64"/>
    </row>
    <row r="332" spans="1:269" s="920" customFormat="1" x14ac:dyDescent="0.2">
      <c r="A332" s="116"/>
      <c r="B332" s="64"/>
      <c r="C332" s="64"/>
      <c r="D332" s="64"/>
      <c r="E332" s="64"/>
      <c r="F332" s="64"/>
      <c r="G332" s="64"/>
      <c r="H332" s="64"/>
      <c r="I332" s="64"/>
      <c r="J332" s="116"/>
      <c r="K332" s="116"/>
      <c r="L332" s="116"/>
      <c r="M332" s="116"/>
      <c r="N332" s="116"/>
      <c r="O332" s="116"/>
      <c r="P332" s="116"/>
      <c r="Q332" s="102"/>
      <c r="R332" s="102"/>
      <c r="S332" s="102"/>
      <c r="T332" s="102"/>
      <c r="U332" s="913"/>
      <c r="V332" s="114"/>
      <c r="W332" s="805"/>
      <c r="X332" s="805"/>
      <c r="Y332" s="805"/>
      <c r="Z332" s="914"/>
      <c r="AA332" s="102"/>
      <c r="AB332" s="102"/>
      <c r="AC332" s="102"/>
      <c r="AD332" s="102"/>
      <c r="AE332" s="102"/>
      <c r="AF332" s="102"/>
      <c r="AG332" s="102"/>
      <c r="AH332" s="102"/>
      <c r="AI332" s="102"/>
      <c r="AJ332" s="906"/>
      <c r="AK332" s="102"/>
      <c r="AL332" s="915"/>
      <c r="AM332" s="915"/>
      <c r="AN332" s="114"/>
      <c r="AO332" s="64"/>
      <c r="AP332" s="64"/>
      <c r="AQ332" s="64"/>
      <c r="AR332" s="916"/>
      <c r="AS332" s="916"/>
      <c r="AT332" s="916"/>
      <c r="AU332" s="917"/>
      <c r="AV332" s="917"/>
      <c r="AW332" s="917"/>
      <c r="AX332" s="918"/>
      <c r="AY332" s="916"/>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917"/>
      <c r="CA332" s="917"/>
      <c r="CB332" s="64"/>
      <c r="CC332" s="919"/>
      <c r="CD332" s="919"/>
      <c r="CE332" s="64"/>
      <c r="CF332" s="528"/>
      <c r="CG332" s="529"/>
      <c r="CH332" s="64"/>
      <c r="CI332" s="64"/>
      <c r="CJ332" s="64"/>
      <c r="CK332" s="64"/>
      <c r="CL332" s="64"/>
      <c r="CM332" s="64"/>
      <c r="CN332" s="64"/>
      <c r="CO332" s="64"/>
      <c r="CP332" s="64"/>
      <c r="CQ332" s="64"/>
      <c r="CR332" s="64"/>
      <c r="CS332" s="64"/>
      <c r="CT332" s="64"/>
      <c r="CU332" s="64"/>
      <c r="CV332" s="64"/>
      <c r="CW332" s="64"/>
      <c r="CX332" s="64"/>
      <c r="CY332" s="1011"/>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c r="FC332" s="64"/>
      <c r="FD332" s="64"/>
      <c r="FE332" s="64"/>
      <c r="FF332" s="64"/>
      <c r="FG332" s="64"/>
      <c r="FH332" s="64"/>
      <c r="FI332" s="64"/>
      <c r="FJ332" s="64"/>
      <c r="FK332" s="64"/>
      <c r="FL332" s="64"/>
      <c r="FM332" s="64"/>
      <c r="FN332" s="64"/>
      <c r="FO332" s="64"/>
      <c r="FP332" s="64"/>
      <c r="FQ332" s="64"/>
      <c r="FR332" s="64"/>
      <c r="FS332" s="64"/>
      <c r="FT332" s="64"/>
      <c r="FU332" s="64"/>
      <c r="FV332" s="64"/>
      <c r="FW332" s="64"/>
      <c r="FX332" s="64"/>
      <c r="FY332" s="64"/>
      <c r="FZ332" s="64"/>
      <c r="GA332" s="64"/>
      <c r="GB332" s="64"/>
      <c r="GC332" s="64"/>
      <c r="GD332" s="64"/>
      <c r="GE332" s="64"/>
      <c r="GF332" s="64"/>
      <c r="GG332" s="64"/>
      <c r="GH332" s="64"/>
      <c r="GI332" s="64"/>
      <c r="GJ332" s="64"/>
      <c r="GK332" s="64"/>
      <c r="GL332" s="64"/>
      <c r="GM332" s="64"/>
      <c r="GN332" s="64"/>
      <c r="GO332" s="64"/>
      <c r="GP332" s="64"/>
      <c r="GQ332" s="64"/>
      <c r="GR332" s="64"/>
      <c r="GS332" s="64"/>
      <c r="GT332" s="64"/>
      <c r="GU332" s="64"/>
      <c r="GV332" s="64"/>
      <c r="GW332" s="64"/>
      <c r="GX332" s="64"/>
      <c r="GY332" s="64"/>
      <c r="GZ332" s="64"/>
      <c r="HA332" s="64"/>
      <c r="HB332" s="64"/>
      <c r="HC332" s="64"/>
      <c r="HD332" s="64"/>
      <c r="HE332" s="64"/>
      <c r="HF332" s="64"/>
      <c r="HG332" s="64"/>
      <c r="HH332" s="64"/>
      <c r="HI332" s="64"/>
      <c r="HJ332" s="64"/>
      <c r="HK332" s="64"/>
      <c r="HL332" s="64"/>
      <c r="HM332" s="64"/>
      <c r="HN332" s="64"/>
      <c r="HO332" s="64"/>
      <c r="HP332" s="64"/>
      <c r="HQ332" s="64"/>
      <c r="HR332" s="64"/>
      <c r="HS332" s="64"/>
      <c r="HT332" s="64"/>
      <c r="HU332" s="64"/>
      <c r="HV332" s="64"/>
      <c r="HW332" s="64"/>
      <c r="HX332" s="64"/>
      <c r="HY332" s="64"/>
      <c r="HZ332" s="64"/>
      <c r="IA332" s="64"/>
      <c r="IB332" s="64"/>
      <c r="IC332" s="64"/>
      <c r="ID332" s="64"/>
      <c r="IE332" s="64"/>
      <c r="IF332" s="64"/>
      <c r="IG332" s="64"/>
      <c r="IH332" s="64"/>
      <c r="II332" s="64"/>
      <c r="IJ332" s="64"/>
      <c r="IK332" s="64"/>
      <c r="IL332" s="64"/>
      <c r="IM332" s="64"/>
      <c r="IN332" s="64"/>
      <c r="IO332" s="64"/>
      <c r="IP332" s="64"/>
      <c r="IQ332" s="64"/>
      <c r="IR332" s="64"/>
      <c r="IS332" s="64"/>
      <c r="IT332" s="64"/>
      <c r="IU332" s="64"/>
      <c r="IV332" s="64"/>
      <c r="IW332" s="64"/>
      <c r="IX332" s="64"/>
      <c r="IY332" s="64"/>
      <c r="IZ332" s="64"/>
      <c r="JA332" s="64"/>
      <c r="JB332" s="64"/>
      <c r="JC332" s="64"/>
      <c r="JD332" s="64"/>
      <c r="JE332" s="64"/>
      <c r="JF332" s="64"/>
      <c r="JG332" s="64"/>
      <c r="JH332" s="64"/>
      <c r="JI332" s="64"/>
    </row>
    <row r="333" spans="1:269" s="920" customFormat="1" x14ac:dyDescent="0.2">
      <c r="A333" s="116"/>
      <c r="B333" s="64"/>
      <c r="C333" s="64"/>
      <c r="D333" s="64"/>
      <c r="E333" s="64"/>
      <c r="F333" s="64"/>
      <c r="G333" s="64"/>
      <c r="H333" s="64"/>
      <c r="I333" s="64"/>
      <c r="J333" s="116"/>
      <c r="K333" s="116"/>
      <c r="L333" s="116"/>
      <c r="M333" s="116"/>
      <c r="N333" s="116"/>
      <c r="O333" s="116"/>
      <c r="P333" s="116"/>
      <c r="Q333" s="102"/>
      <c r="R333" s="102"/>
      <c r="S333" s="102"/>
      <c r="T333" s="102"/>
      <c r="U333" s="913"/>
      <c r="V333" s="114"/>
      <c r="W333" s="805"/>
      <c r="X333" s="805"/>
      <c r="Y333" s="805"/>
      <c r="Z333" s="914"/>
      <c r="AA333" s="102"/>
      <c r="AB333" s="102"/>
      <c r="AC333" s="102"/>
      <c r="AD333" s="102"/>
      <c r="AE333" s="102"/>
      <c r="AF333" s="102"/>
      <c r="AG333" s="102"/>
      <c r="AH333" s="102"/>
      <c r="AI333" s="102"/>
      <c r="AJ333" s="906"/>
      <c r="AK333" s="102"/>
      <c r="AL333" s="915"/>
      <c r="AM333" s="915"/>
      <c r="AN333" s="114"/>
      <c r="AO333" s="64"/>
      <c r="AP333" s="64"/>
      <c r="AQ333" s="64"/>
      <c r="AR333" s="916"/>
      <c r="AS333" s="916"/>
      <c r="AT333" s="916"/>
      <c r="AU333" s="917"/>
      <c r="AV333" s="917"/>
      <c r="AW333" s="917"/>
      <c r="AX333" s="918"/>
      <c r="AY333" s="916"/>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917"/>
      <c r="CA333" s="917"/>
      <c r="CB333" s="64"/>
      <c r="CC333" s="919"/>
      <c r="CD333" s="919"/>
      <c r="CE333" s="64"/>
      <c r="CF333" s="528"/>
      <c r="CG333" s="529"/>
      <c r="CH333" s="64"/>
      <c r="CI333" s="64"/>
      <c r="CJ333" s="64"/>
      <c r="CK333" s="64"/>
      <c r="CL333" s="64"/>
      <c r="CM333" s="64"/>
      <c r="CN333" s="64"/>
      <c r="CO333" s="64"/>
      <c r="CP333" s="64"/>
      <c r="CQ333" s="64"/>
      <c r="CR333" s="64"/>
      <c r="CS333" s="64"/>
      <c r="CT333" s="64"/>
      <c r="CU333" s="64"/>
      <c r="CV333" s="64"/>
      <c r="CW333" s="64"/>
      <c r="CX333" s="64"/>
      <c r="CY333" s="1011"/>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c r="FC333" s="64"/>
      <c r="FD333" s="64"/>
      <c r="FE333" s="64"/>
      <c r="FF333" s="64"/>
      <c r="FG333" s="64"/>
      <c r="FH333" s="64"/>
      <c r="FI333" s="64"/>
      <c r="FJ333" s="64"/>
      <c r="FK333" s="64"/>
      <c r="FL333" s="64"/>
      <c r="FM333" s="64"/>
      <c r="FN333" s="64"/>
      <c r="FO333" s="64"/>
      <c r="FP333" s="64"/>
      <c r="FQ333" s="64"/>
      <c r="FR333" s="64"/>
      <c r="FS333" s="64"/>
      <c r="FT333" s="64"/>
      <c r="FU333" s="64"/>
      <c r="FV333" s="64"/>
      <c r="FW333" s="64"/>
      <c r="FX333" s="64"/>
      <c r="FY333" s="64"/>
      <c r="FZ333" s="64"/>
      <c r="GA333" s="64"/>
      <c r="GB333" s="64"/>
      <c r="GC333" s="64"/>
      <c r="GD333" s="64"/>
      <c r="GE333" s="64"/>
      <c r="GF333" s="64"/>
      <c r="GG333" s="64"/>
      <c r="GH333" s="64"/>
      <c r="GI333" s="64"/>
      <c r="GJ333" s="64"/>
      <c r="GK333" s="64"/>
      <c r="GL333" s="64"/>
      <c r="GM333" s="64"/>
      <c r="GN333" s="64"/>
      <c r="GO333" s="64"/>
      <c r="GP333" s="64"/>
      <c r="GQ333" s="64"/>
      <c r="GR333" s="64"/>
      <c r="GS333" s="64"/>
      <c r="GT333" s="64"/>
      <c r="GU333" s="64"/>
      <c r="GV333" s="64"/>
      <c r="GW333" s="64"/>
      <c r="GX333" s="64"/>
      <c r="GY333" s="64"/>
      <c r="GZ333" s="64"/>
      <c r="HA333" s="64"/>
      <c r="HB333" s="64"/>
      <c r="HC333" s="64"/>
      <c r="HD333" s="64"/>
      <c r="HE333" s="64"/>
      <c r="HF333" s="64"/>
      <c r="HG333" s="64"/>
      <c r="HH333" s="64"/>
      <c r="HI333" s="64"/>
      <c r="HJ333" s="64"/>
      <c r="HK333" s="64"/>
      <c r="HL333" s="64"/>
      <c r="HM333" s="64"/>
      <c r="HN333" s="64"/>
      <c r="HO333" s="64"/>
      <c r="HP333" s="64"/>
      <c r="HQ333" s="64"/>
      <c r="HR333" s="64"/>
      <c r="HS333" s="64"/>
      <c r="HT333" s="64"/>
      <c r="HU333" s="64"/>
      <c r="HV333" s="64"/>
      <c r="HW333" s="64"/>
      <c r="HX333" s="64"/>
      <c r="HY333" s="64"/>
      <c r="HZ333" s="64"/>
      <c r="IA333" s="64"/>
      <c r="IB333" s="64"/>
      <c r="IC333" s="64"/>
      <c r="ID333" s="64"/>
      <c r="IE333" s="64"/>
      <c r="IF333" s="64"/>
      <c r="IG333" s="64"/>
      <c r="IH333" s="64"/>
      <c r="II333" s="64"/>
      <c r="IJ333" s="64"/>
      <c r="IK333" s="64"/>
      <c r="IL333" s="64"/>
      <c r="IM333" s="64"/>
      <c r="IN333" s="64"/>
      <c r="IO333" s="64"/>
      <c r="IP333" s="64"/>
      <c r="IQ333" s="64"/>
      <c r="IR333" s="64"/>
      <c r="IS333" s="64"/>
      <c r="IT333" s="64"/>
      <c r="IU333" s="64"/>
      <c r="IV333" s="64"/>
      <c r="IW333" s="64"/>
      <c r="IX333" s="64"/>
      <c r="IY333" s="64"/>
      <c r="IZ333" s="64"/>
      <c r="JA333" s="64"/>
      <c r="JB333" s="64"/>
      <c r="JC333" s="64"/>
      <c r="JD333" s="64"/>
      <c r="JE333" s="64"/>
      <c r="JF333" s="64"/>
      <c r="JG333" s="64"/>
      <c r="JH333" s="64"/>
      <c r="JI333" s="64"/>
    </row>
    <row r="334" spans="1:269" s="920" customFormat="1" x14ac:dyDescent="0.2">
      <c r="A334" s="116"/>
      <c r="B334" s="64"/>
      <c r="C334" s="64"/>
      <c r="D334" s="64"/>
      <c r="E334" s="64"/>
      <c r="F334" s="64"/>
      <c r="G334" s="64"/>
      <c r="H334" s="64"/>
      <c r="I334" s="64"/>
      <c r="J334" s="116"/>
      <c r="K334" s="116"/>
      <c r="L334" s="116"/>
      <c r="M334" s="116"/>
      <c r="N334" s="116"/>
      <c r="O334" s="116"/>
      <c r="P334" s="116"/>
      <c r="Q334" s="102"/>
      <c r="R334" s="102"/>
      <c r="S334" s="102"/>
      <c r="T334" s="102"/>
      <c r="U334" s="913"/>
      <c r="V334" s="114"/>
      <c r="W334" s="805"/>
      <c r="X334" s="805"/>
      <c r="Y334" s="805"/>
      <c r="Z334" s="914"/>
      <c r="AA334" s="102"/>
      <c r="AB334" s="102"/>
      <c r="AC334" s="102"/>
      <c r="AD334" s="102"/>
      <c r="AE334" s="102"/>
      <c r="AF334" s="102"/>
      <c r="AG334" s="102"/>
      <c r="AH334" s="102"/>
      <c r="AI334" s="102"/>
      <c r="AJ334" s="906"/>
      <c r="AK334" s="102"/>
      <c r="AL334" s="915"/>
      <c r="AM334" s="915"/>
      <c r="AN334" s="114"/>
      <c r="AO334" s="64"/>
      <c r="AP334" s="64"/>
      <c r="AQ334" s="64"/>
      <c r="AR334" s="916"/>
      <c r="AS334" s="916"/>
      <c r="AT334" s="916"/>
      <c r="AU334" s="917"/>
      <c r="AV334" s="917"/>
      <c r="AW334" s="917"/>
      <c r="AX334" s="918"/>
      <c r="AY334" s="916"/>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917"/>
      <c r="CA334" s="917"/>
      <c r="CB334" s="64"/>
      <c r="CC334" s="919"/>
      <c r="CD334" s="919"/>
      <c r="CE334" s="64"/>
      <c r="CF334" s="528"/>
      <c r="CG334" s="529"/>
      <c r="CH334" s="64"/>
      <c r="CI334" s="64"/>
      <c r="CJ334" s="64"/>
      <c r="CK334" s="64"/>
      <c r="CL334" s="64"/>
      <c r="CM334" s="64"/>
      <c r="CN334" s="64"/>
      <c r="CO334" s="64"/>
      <c r="CP334" s="64"/>
      <c r="CQ334" s="64"/>
      <c r="CR334" s="64"/>
      <c r="CS334" s="64"/>
      <c r="CT334" s="64"/>
      <c r="CU334" s="64"/>
      <c r="CV334" s="64"/>
      <c r="CW334" s="64"/>
      <c r="CX334" s="64"/>
      <c r="CY334" s="1011"/>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c r="FC334" s="64"/>
      <c r="FD334" s="64"/>
      <c r="FE334" s="64"/>
      <c r="FF334" s="64"/>
      <c r="FG334" s="64"/>
      <c r="FH334" s="64"/>
      <c r="FI334" s="64"/>
      <c r="FJ334" s="64"/>
      <c r="FK334" s="64"/>
      <c r="FL334" s="64"/>
      <c r="FM334" s="64"/>
      <c r="FN334" s="64"/>
      <c r="FO334" s="64"/>
      <c r="FP334" s="64"/>
      <c r="FQ334" s="64"/>
      <c r="FR334" s="64"/>
      <c r="FS334" s="64"/>
      <c r="FT334" s="64"/>
      <c r="FU334" s="64"/>
      <c r="FV334" s="64"/>
      <c r="FW334" s="64"/>
      <c r="FX334" s="64"/>
      <c r="FY334" s="64"/>
      <c r="FZ334" s="64"/>
      <c r="GA334" s="64"/>
      <c r="GB334" s="64"/>
      <c r="GC334" s="64"/>
      <c r="GD334" s="64"/>
      <c r="GE334" s="64"/>
      <c r="GF334" s="64"/>
      <c r="GG334" s="64"/>
      <c r="GH334" s="64"/>
      <c r="GI334" s="64"/>
      <c r="GJ334" s="64"/>
      <c r="GK334" s="64"/>
      <c r="GL334" s="64"/>
      <c r="GM334" s="64"/>
      <c r="GN334" s="64"/>
      <c r="GO334" s="64"/>
      <c r="GP334" s="64"/>
      <c r="GQ334" s="64"/>
      <c r="GR334" s="64"/>
      <c r="GS334" s="64"/>
      <c r="GT334" s="64"/>
      <c r="GU334" s="64"/>
      <c r="GV334" s="64"/>
      <c r="GW334" s="64"/>
      <c r="GX334" s="64"/>
      <c r="GY334" s="64"/>
      <c r="GZ334" s="64"/>
      <c r="HA334" s="64"/>
      <c r="HB334" s="64"/>
      <c r="HC334" s="64"/>
      <c r="HD334" s="64"/>
      <c r="HE334" s="64"/>
      <c r="HF334" s="64"/>
      <c r="HG334" s="64"/>
      <c r="HH334" s="64"/>
      <c r="HI334" s="64"/>
      <c r="HJ334" s="64"/>
      <c r="HK334" s="64"/>
      <c r="HL334" s="64"/>
      <c r="HM334" s="64"/>
      <c r="HN334" s="64"/>
      <c r="HO334" s="64"/>
      <c r="HP334" s="64"/>
      <c r="HQ334" s="64"/>
      <c r="HR334" s="64"/>
      <c r="HS334" s="64"/>
      <c r="HT334" s="64"/>
      <c r="HU334" s="64"/>
      <c r="HV334" s="64"/>
      <c r="HW334" s="64"/>
      <c r="HX334" s="64"/>
      <c r="HY334" s="64"/>
      <c r="HZ334" s="64"/>
      <c r="IA334" s="64"/>
      <c r="IB334" s="64"/>
      <c r="IC334" s="64"/>
      <c r="ID334" s="64"/>
      <c r="IE334" s="64"/>
      <c r="IF334" s="64"/>
      <c r="IG334" s="64"/>
      <c r="IH334" s="64"/>
      <c r="II334" s="64"/>
      <c r="IJ334" s="64"/>
      <c r="IK334" s="64"/>
      <c r="IL334" s="64"/>
      <c r="IM334" s="64"/>
      <c r="IN334" s="64"/>
      <c r="IO334" s="64"/>
      <c r="IP334" s="64"/>
      <c r="IQ334" s="64"/>
      <c r="IR334" s="64"/>
      <c r="IS334" s="64"/>
      <c r="IT334" s="64"/>
      <c r="IU334" s="64"/>
      <c r="IV334" s="64"/>
      <c r="IW334" s="64"/>
      <c r="IX334" s="64"/>
      <c r="IY334" s="64"/>
      <c r="IZ334" s="64"/>
      <c r="JA334" s="64"/>
      <c r="JB334" s="64"/>
      <c r="JC334" s="64"/>
      <c r="JD334" s="64"/>
      <c r="JE334" s="64"/>
      <c r="JF334" s="64"/>
      <c r="JG334" s="64"/>
      <c r="JH334" s="64"/>
      <c r="JI334" s="64"/>
    </row>
    <row r="335" spans="1:269" s="920" customFormat="1" x14ac:dyDescent="0.2">
      <c r="A335" s="116"/>
      <c r="B335" s="64"/>
      <c r="C335" s="64"/>
      <c r="D335" s="64"/>
      <c r="E335" s="64"/>
      <c r="F335" s="64"/>
      <c r="G335" s="64"/>
      <c r="H335" s="64"/>
      <c r="I335" s="64"/>
      <c r="J335" s="116"/>
      <c r="K335" s="116"/>
      <c r="L335" s="116"/>
      <c r="M335" s="116"/>
      <c r="N335" s="116"/>
      <c r="O335" s="116"/>
      <c r="P335" s="116"/>
      <c r="Q335" s="102"/>
      <c r="R335" s="102"/>
      <c r="S335" s="102"/>
      <c r="T335" s="102"/>
      <c r="U335" s="913"/>
      <c r="V335" s="114"/>
      <c r="W335" s="805"/>
      <c r="X335" s="805"/>
      <c r="Y335" s="805"/>
      <c r="Z335" s="914"/>
      <c r="AA335" s="102"/>
      <c r="AB335" s="102"/>
      <c r="AC335" s="102"/>
      <c r="AD335" s="102"/>
      <c r="AE335" s="102"/>
      <c r="AF335" s="102"/>
      <c r="AG335" s="102"/>
      <c r="AH335" s="102"/>
      <c r="AI335" s="102"/>
      <c r="AJ335" s="906"/>
      <c r="AK335" s="102"/>
      <c r="AL335" s="915"/>
      <c r="AM335" s="915"/>
      <c r="AN335" s="114"/>
      <c r="AO335" s="64"/>
      <c r="AP335" s="64"/>
      <c r="AQ335" s="64"/>
      <c r="AR335" s="916"/>
      <c r="AS335" s="916"/>
      <c r="AT335" s="916"/>
      <c r="AU335" s="917"/>
      <c r="AV335" s="917"/>
      <c r="AW335" s="917"/>
      <c r="AX335" s="918"/>
      <c r="AY335" s="916"/>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917"/>
      <c r="CA335" s="917"/>
      <c r="CB335" s="64"/>
      <c r="CC335" s="919"/>
      <c r="CD335" s="919"/>
      <c r="CE335" s="64"/>
      <c r="CF335" s="528"/>
      <c r="CG335" s="529"/>
      <c r="CH335" s="64"/>
      <c r="CI335" s="64"/>
      <c r="CJ335" s="64"/>
      <c r="CK335" s="64"/>
      <c r="CL335" s="64"/>
      <c r="CM335" s="64"/>
      <c r="CN335" s="64"/>
      <c r="CO335" s="64"/>
      <c r="CP335" s="64"/>
      <c r="CQ335" s="64"/>
      <c r="CR335" s="64"/>
      <c r="CS335" s="64"/>
      <c r="CT335" s="64"/>
      <c r="CU335" s="64"/>
      <c r="CV335" s="64"/>
      <c r="CW335" s="64"/>
      <c r="CX335" s="64"/>
      <c r="CY335" s="1011"/>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c r="FC335" s="64"/>
      <c r="FD335" s="64"/>
      <c r="FE335" s="64"/>
      <c r="FF335" s="64"/>
      <c r="FG335" s="64"/>
      <c r="FH335" s="64"/>
      <c r="FI335" s="64"/>
      <c r="FJ335" s="64"/>
      <c r="FK335" s="64"/>
      <c r="FL335" s="64"/>
      <c r="FM335" s="64"/>
      <c r="FN335" s="64"/>
      <c r="FO335" s="64"/>
      <c r="FP335" s="64"/>
      <c r="FQ335" s="64"/>
      <c r="FR335" s="64"/>
      <c r="FS335" s="64"/>
      <c r="FT335" s="64"/>
      <c r="FU335" s="64"/>
      <c r="FV335" s="64"/>
      <c r="FW335" s="64"/>
      <c r="FX335" s="64"/>
      <c r="FY335" s="64"/>
      <c r="FZ335" s="64"/>
      <c r="GA335" s="64"/>
      <c r="GB335" s="64"/>
      <c r="GC335" s="64"/>
      <c r="GD335" s="64"/>
      <c r="GE335" s="64"/>
      <c r="GF335" s="64"/>
      <c r="GG335" s="64"/>
      <c r="GH335" s="64"/>
      <c r="GI335" s="64"/>
      <c r="GJ335" s="64"/>
      <c r="GK335" s="64"/>
      <c r="GL335" s="64"/>
      <c r="GM335" s="64"/>
      <c r="GN335" s="64"/>
      <c r="GO335" s="64"/>
      <c r="GP335" s="64"/>
      <c r="GQ335" s="64"/>
      <c r="GR335" s="64"/>
      <c r="GS335" s="64"/>
      <c r="GT335" s="64"/>
      <c r="GU335" s="64"/>
      <c r="GV335" s="64"/>
      <c r="GW335" s="64"/>
      <c r="GX335" s="64"/>
      <c r="GY335" s="64"/>
      <c r="GZ335" s="64"/>
      <c r="HA335" s="64"/>
      <c r="HB335" s="64"/>
      <c r="HC335" s="64"/>
      <c r="HD335" s="64"/>
      <c r="HE335" s="64"/>
      <c r="HF335" s="64"/>
      <c r="HG335" s="64"/>
      <c r="HH335" s="64"/>
      <c r="HI335" s="64"/>
      <c r="HJ335" s="64"/>
      <c r="HK335" s="64"/>
      <c r="HL335" s="64"/>
      <c r="HM335" s="64"/>
      <c r="HN335" s="64"/>
      <c r="HO335" s="64"/>
      <c r="HP335" s="64"/>
      <c r="HQ335" s="64"/>
      <c r="HR335" s="64"/>
      <c r="HS335" s="64"/>
      <c r="HT335" s="64"/>
      <c r="HU335" s="64"/>
      <c r="HV335" s="64"/>
      <c r="HW335" s="64"/>
      <c r="HX335" s="64"/>
      <c r="HY335" s="64"/>
      <c r="HZ335" s="64"/>
      <c r="IA335" s="64"/>
      <c r="IB335" s="64"/>
      <c r="IC335" s="64"/>
      <c r="ID335" s="64"/>
      <c r="IE335" s="64"/>
      <c r="IF335" s="64"/>
      <c r="IG335" s="64"/>
      <c r="IH335" s="64"/>
      <c r="II335" s="64"/>
      <c r="IJ335" s="64"/>
      <c r="IK335" s="64"/>
      <c r="IL335" s="64"/>
      <c r="IM335" s="64"/>
      <c r="IN335" s="64"/>
      <c r="IO335" s="64"/>
      <c r="IP335" s="64"/>
      <c r="IQ335" s="64"/>
      <c r="IR335" s="64"/>
      <c r="IS335" s="64"/>
      <c r="IT335" s="64"/>
      <c r="IU335" s="64"/>
      <c r="IV335" s="64"/>
      <c r="IW335" s="64"/>
      <c r="IX335" s="64"/>
      <c r="IY335" s="64"/>
      <c r="IZ335" s="64"/>
      <c r="JA335" s="64"/>
      <c r="JB335" s="64"/>
      <c r="JC335" s="64"/>
      <c r="JD335" s="64"/>
      <c r="JE335" s="64"/>
      <c r="JF335" s="64"/>
      <c r="JG335" s="64"/>
      <c r="JH335" s="64"/>
      <c r="JI335" s="64"/>
    </row>
    <row r="336" spans="1:269" s="920" customFormat="1" x14ac:dyDescent="0.2">
      <c r="A336" s="116"/>
      <c r="B336" s="64"/>
      <c r="C336" s="64"/>
      <c r="D336" s="64"/>
      <c r="E336" s="64"/>
      <c r="F336" s="64"/>
      <c r="G336" s="64"/>
      <c r="H336" s="64"/>
      <c r="I336" s="64"/>
      <c r="J336" s="116"/>
      <c r="K336" s="116"/>
      <c r="L336" s="116"/>
      <c r="M336" s="116"/>
      <c r="N336" s="116"/>
      <c r="O336" s="116"/>
      <c r="P336" s="116"/>
      <c r="Q336" s="102"/>
      <c r="R336" s="102"/>
      <c r="S336" s="102"/>
      <c r="T336" s="102"/>
      <c r="U336" s="913"/>
      <c r="V336" s="114"/>
      <c r="W336" s="805"/>
      <c r="X336" s="805"/>
      <c r="Y336" s="805"/>
      <c r="Z336" s="914"/>
      <c r="AA336" s="102"/>
      <c r="AB336" s="102"/>
      <c r="AC336" s="102"/>
      <c r="AD336" s="102"/>
      <c r="AE336" s="102"/>
      <c r="AF336" s="102"/>
      <c r="AG336" s="102"/>
      <c r="AH336" s="102"/>
      <c r="AI336" s="102"/>
      <c r="AJ336" s="906"/>
      <c r="AK336" s="102"/>
      <c r="AL336" s="915"/>
      <c r="AM336" s="915"/>
      <c r="AN336" s="114"/>
      <c r="AO336" s="64"/>
      <c r="AP336" s="64"/>
      <c r="AQ336" s="64"/>
      <c r="AR336" s="916"/>
      <c r="AS336" s="916"/>
      <c r="AT336" s="916"/>
      <c r="AU336" s="917"/>
      <c r="AV336" s="917"/>
      <c r="AW336" s="917"/>
      <c r="AX336" s="918"/>
      <c r="AY336" s="916"/>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917"/>
      <c r="CA336" s="917"/>
      <c r="CB336" s="64"/>
      <c r="CC336" s="919"/>
      <c r="CD336" s="919"/>
      <c r="CE336" s="64"/>
      <c r="CF336" s="528"/>
      <c r="CG336" s="529"/>
      <c r="CH336" s="64"/>
      <c r="CI336" s="64"/>
      <c r="CJ336" s="64"/>
      <c r="CK336" s="64"/>
      <c r="CL336" s="64"/>
      <c r="CM336" s="64"/>
      <c r="CN336" s="64"/>
      <c r="CO336" s="64"/>
      <c r="CP336" s="64"/>
      <c r="CQ336" s="64"/>
      <c r="CR336" s="64"/>
      <c r="CS336" s="64"/>
      <c r="CT336" s="64"/>
      <c r="CU336" s="64"/>
      <c r="CV336" s="64"/>
      <c r="CW336" s="64"/>
      <c r="CX336" s="64"/>
      <c r="CY336" s="1011"/>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c r="FC336" s="64"/>
      <c r="FD336" s="64"/>
      <c r="FE336" s="64"/>
      <c r="FF336" s="64"/>
      <c r="FG336" s="64"/>
      <c r="FH336" s="64"/>
      <c r="FI336" s="64"/>
      <c r="FJ336" s="64"/>
      <c r="FK336" s="64"/>
      <c r="FL336" s="64"/>
      <c r="FM336" s="64"/>
      <c r="FN336" s="64"/>
      <c r="FO336" s="64"/>
      <c r="FP336" s="64"/>
      <c r="FQ336" s="64"/>
      <c r="FR336" s="64"/>
      <c r="FS336" s="64"/>
      <c r="FT336" s="64"/>
      <c r="FU336" s="64"/>
      <c r="FV336" s="64"/>
      <c r="FW336" s="64"/>
      <c r="FX336" s="64"/>
      <c r="FY336" s="64"/>
      <c r="FZ336" s="64"/>
      <c r="GA336" s="64"/>
      <c r="GB336" s="64"/>
      <c r="GC336" s="64"/>
      <c r="GD336" s="64"/>
      <c r="GE336" s="64"/>
      <c r="GF336" s="64"/>
      <c r="GG336" s="64"/>
      <c r="GH336" s="64"/>
      <c r="GI336" s="64"/>
      <c r="GJ336" s="64"/>
      <c r="GK336" s="64"/>
      <c r="GL336" s="64"/>
      <c r="GM336" s="64"/>
      <c r="GN336" s="64"/>
      <c r="GO336" s="64"/>
      <c r="GP336" s="64"/>
      <c r="GQ336" s="64"/>
      <c r="GR336" s="64"/>
      <c r="GS336" s="64"/>
      <c r="GT336" s="64"/>
      <c r="GU336" s="64"/>
      <c r="GV336" s="64"/>
      <c r="GW336" s="64"/>
      <c r="GX336" s="64"/>
      <c r="GY336" s="64"/>
      <c r="GZ336" s="64"/>
      <c r="HA336" s="64"/>
      <c r="HB336" s="64"/>
      <c r="HC336" s="64"/>
      <c r="HD336" s="64"/>
      <c r="HE336" s="64"/>
      <c r="HF336" s="64"/>
      <c r="HG336" s="64"/>
      <c r="HH336" s="64"/>
      <c r="HI336" s="64"/>
      <c r="HJ336" s="64"/>
      <c r="HK336" s="64"/>
      <c r="HL336" s="64"/>
      <c r="HM336" s="64"/>
      <c r="HN336" s="64"/>
      <c r="HO336" s="64"/>
      <c r="HP336" s="64"/>
      <c r="HQ336" s="64"/>
      <c r="HR336" s="64"/>
      <c r="HS336" s="64"/>
      <c r="HT336" s="64"/>
      <c r="HU336" s="64"/>
      <c r="HV336" s="64"/>
      <c r="HW336" s="64"/>
      <c r="HX336" s="64"/>
      <c r="HY336" s="64"/>
      <c r="HZ336" s="64"/>
      <c r="IA336" s="64"/>
      <c r="IB336" s="64"/>
      <c r="IC336" s="64"/>
      <c r="ID336" s="64"/>
      <c r="IE336" s="64"/>
      <c r="IF336" s="64"/>
      <c r="IG336" s="64"/>
      <c r="IH336" s="64"/>
      <c r="II336" s="64"/>
      <c r="IJ336" s="64"/>
      <c r="IK336" s="64"/>
      <c r="IL336" s="64"/>
      <c r="IM336" s="64"/>
      <c r="IN336" s="64"/>
      <c r="IO336" s="64"/>
      <c r="IP336" s="64"/>
      <c r="IQ336" s="64"/>
      <c r="IR336" s="64"/>
      <c r="IS336" s="64"/>
      <c r="IT336" s="64"/>
      <c r="IU336" s="64"/>
      <c r="IV336" s="64"/>
      <c r="IW336" s="64"/>
      <c r="IX336" s="64"/>
      <c r="IY336" s="64"/>
      <c r="IZ336" s="64"/>
      <c r="JA336" s="64"/>
      <c r="JB336" s="64"/>
      <c r="JC336" s="64"/>
      <c r="JD336" s="64"/>
      <c r="JE336" s="64"/>
      <c r="JF336" s="64"/>
      <c r="JG336" s="64"/>
      <c r="JH336" s="64"/>
      <c r="JI336" s="64"/>
    </row>
    <row r="337" spans="1:269" s="920" customFormat="1" x14ac:dyDescent="0.2">
      <c r="A337" s="116"/>
      <c r="B337" s="64"/>
      <c r="C337" s="64"/>
      <c r="D337" s="64"/>
      <c r="E337" s="64"/>
      <c r="F337" s="64"/>
      <c r="G337" s="64"/>
      <c r="H337" s="64"/>
      <c r="I337" s="64"/>
      <c r="J337" s="116"/>
      <c r="K337" s="116"/>
      <c r="L337" s="116"/>
      <c r="M337" s="116"/>
      <c r="N337" s="116"/>
      <c r="O337" s="116"/>
      <c r="P337" s="116"/>
      <c r="Q337" s="102"/>
      <c r="R337" s="102"/>
      <c r="S337" s="102"/>
      <c r="T337" s="102"/>
      <c r="U337" s="913"/>
      <c r="V337" s="114"/>
      <c r="W337" s="805"/>
      <c r="X337" s="805"/>
      <c r="Y337" s="805"/>
      <c r="Z337" s="914"/>
      <c r="AA337" s="102"/>
      <c r="AB337" s="102"/>
      <c r="AC337" s="102"/>
      <c r="AD337" s="102"/>
      <c r="AE337" s="102"/>
      <c r="AF337" s="102"/>
      <c r="AG337" s="102"/>
      <c r="AH337" s="102"/>
      <c r="AI337" s="102"/>
      <c r="AJ337" s="906"/>
      <c r="AK337" s="102"/>
      <c r="AL337" s="915"/>
      <c r="AM337" s="915"/>
      <c r="AN337" s="114"/>
      <c r="AO337" s="64"/>
      <c r="AP337" s="64"/>
      <c r="AQ337" s="64"/>
      <c r="AR337" s="916"/>
      <c r="AS337" s="916"/>
      <c r="AT337" s="916"/>
      <c r="AU337" s="917"/>
      <c r="AV337" s="917"/>
      <c r="AW337" s="917"/>
      <c r="AX337" s="918"/>
      <c r="AY337" s="916"/>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917"/>
      <c r="CA337" s="917"/>
      <c r="CB337" s="64"/>
      <c r="CC337" s="919"/>
      <c r="CD337" s="919"/>
      <c r="CE337" s="64"/>
      <c r="CF337" s="528"/>
      <c r="CG337" s="529"/>
      <c r="CH337" s="64"/>
      <c r="CI337" s="64"/>
      <c r="CJ337" s="64"/>
      <c r="CK337" s="64"/>
      <c r="CL337" s="64"/>
      <c r="CM337" s="64"/>
      <c r="CN337" s="64"/>
      <c r="CO337" s="64"/>
      <c r="CP337" s="64"/>
      <c r="CQ337" s="64"/>
      <c r="CR337" s="64"/>
      <c r="CS337" s="64"/>
      <c r="CT337" s="64"/>
      <c r="CU337" s="64"/>
      <c r="CV337" s="64"/>
      <c r="CW337" s="64"/>
      <c r="CX337" s="64"/>
      <c r="CY337" s="1011"/>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c r="FC337" s="64"/>
      <c r="FD337" s="64"/>
      <c r="FE337" s="64"/>
      <c r="FF337" s="64"/>
      <c r="FG337" s="64"/>
      <c r="FH337" s="64"/>
      <c r="FI337" s="64"/>
      <c r="FJ337" s="64"/>
      <c r="FK337" s="64"/>
      <c r="FL337" s="64"/>
      <c r="FM337" s="64"/>
      <c r="FN337" s="64"/>
      <c r="FO337" s="64"/>
      <c r="FP337" s="64"/>
      <c r="FQ337" s="64"/>
      <c r="FR337" s="64"/>
      <c r="FS337" s="64"/>
      <c r="FT337" s="64"/>
      <c r="FU337" s="64"/>
      <c r="FV337" s="64"/>
      <c r="FW337" s="64"/>
      <c r="FX337" s="64"/>
      <c r="FY337" s="64"/>
      <c r="FZ337" s="64"/>
      <c r="GA337" s="64"/>
      <c r="GB337" s="64"/>
      <c r="GC337" s="64"/>
      <c r="GD337" s="64"/>
      <c r="GE337" s="64"/>
      <c r="GF337" s="64"/>
      <c r="GG337" s="64"/>
      <c r="GH337" s="64"/>
      <c r="GI337" s="64"/>
      <c r="GJ337" s="64"/>
      <c r="GK337" s="64"/>
      <c r="GL337" s="64"/>
      <c r="GM337" s="64"/>
      <c r="GN337" s="64"/>
      <c r="GO337" s="64"/>
      <c r="GP337" s="64"/>
      <c r="GQ337" s="64"/>
      <c r="GR337" s="64"/>
      <c r="GS337" s="64"/>
      <c r="GT337" s="64"/>
      <c r="GU337" s="64"/>
      <c r="GV337" s="64"/>
      <c r="GW337" s="64"/>
      <c r="GX337" s="64"/>
      <c r="GY337" s="64"/>
      <c r="GZ337" s="64"/>
      <c r="HA337" s="64"/>
      <c r="HB337" s="64"/>
      <c r="HC337" s="64"/>
      <c r="HD337" s="64"/>
      <c r="HE337" s="64"/>
      <c r="HF337" s="64"/>
      <c r="HG337" s="64"/>
      <c r="HH337" s="64"/>
      <c r="HI337" s="64"/>
      <c r="HJ337" s="64"/>
      <c r="HK337" s="64"/>
      <c r="HL337" s="64"/>
      <c r="HM337" s="64"/>
      <c r="HN337" s="64"/>
      <c r="HO337" s="64"/>
      <c r="HP337" s="64"/>
      <c r="HQ337" s="64"/>
      <c r="HR337" s="64"/>
      <c r="HS337" s="64"/>
      <c r="HT337" s="64"/>
      <c r="HU337" s="64"/>
      <c r="HV337" s="64"/>
      <c r="HW337" s="64"/>
      <c r="HX337" s="64"/>
      <c r="HY337" s="64"/>
      <c r="HZ337" s="64"/>
      <c r="IA337" s="64"/>
      <c r="IB337" s="64"/>
      <c r="IC337" s="64"/>
      <c r="ID337" s="64"/>
      <c r="IE337" s="64"/>
      <c r="IF337" s="64"/>
      <c r="IG337" s="64"/>
      <c r="IH337" s="64"/>
      <c r="II337" s="64"/>
      <c r="IJ337" s="64"/>
      <c r="IK337" s="64"/>
      <c r="IL337" s="64"/>
      <c r="IM337" s="64"/>
      <c r="IN337" s="64"/>
      <c r="IO337" s="64"/>
      <c r="IP337" s="64"/>
      <c r="IQ337" s="64"/>
      <c r="IR337" s="64"/>
      <c r="IS337" s="64"/>
      <c r="IT337" s="64"/>
      <c r="IU337" s="64"/>
      <c r="IV337" s="64"/>
      <c r="IW337" s="64"/>
      <c r="IX337" s="64"/>
      <c r="IY337" s="64"/>
      <c r="IZ337" s="64"/>
      <c r="JA337" s="64"/>
      <c r="JB337" s="64"/>
      <c r="JC337" s="64"/>
      <c r="JD337" s="64"/>
      <c r="JE337" s="64"/>
      <c r="JF337" s="64"/>
      <c r="JG337" s="64"/>
      <c r="JH337" s="64"/>
      <c r="JI337" s="64"/>
    </row>
    <row r="338" spans="1:269" s="920" customFormat="1" x14ac:dyDescent="0.2">
      <c r="A338" s="116"/>
      <c r="B338" s="64"/>
      <c r="C338" s="64"/>
      <c r="D338" s="64"/>
      <c r="E338" s="64"/>
      <c r="F338" s="64"/>
      <c r="G338" s="64"/>
      <c r="H338" s="64"/>
      <c r="I338" s="64"/>
      <c r="J338" s="116"/>
      <c r="K338" s="116"/>
      <c r="L338" s="116"/>
      <c r="M338" s="116"/>
      <c r="N338" s="116"/>
      <c r="O338" s="116"/>
      <c r="P338" s="116"/>
      <c r="Q338" s="102"/>
      <c r="R338" s="102"/>
      <c r="S338" s="102"/>
      <c r="T338" s="102"/>
      <c r="U338" s="913"/>
      <c r="V338" s="114"/>
      <c r="W338" s="805"/>
      <c r="X338" s="805"/>
      <c r="Y338" s="805"/>
      <c r="Z338" s="914"/>
      <c r="AA338" s="102"/>
      <c r="AB338" s="102"/>
      <c r="AC338" s="102"/>
      <c r="AD338" s="102"/>
      <c r="AE338" s="102"/>
      <c r="AF338" s="102"/>
      <c r="AG338" s="102"/>
      <c r="AH338" s="102"/>
      <c r="AI338" s="102"/>
      <c r="AJ338" s="906"/>
      <c r="AK338" s="102"/>
      <c r="AL338" s="915"/>
      <c r="AM338" s="915"/>
      <c r="AN338" s="114"/>
      <c r="AO338" s="64"/>
      <c r="AP338" s="64"/>
      <c r="AQ338" s="64"/>
      <c r="AR338" s="916"/>
      <c r="AS338" s="916"/>
      <c r="AT338" s="916"/>
      <c r="AU338" s="917"/>
      <c r="AV338" s="917"/>
      <c r="AW338" s="917"/>
      <c r="AX338" s="918"/>
      <c r="AY338" s="916"/>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917"/>
      <c r="CA338" s="917"/>
      <c r="CB338" s="64"/>
      <c r="CC338" s="919"/>
      <c r="CD338" s="919"/>
      <c r="CE338" s="64"/>
      <c r="CF338" s="528"/>
      <c r="CG338" s="529"/>
      <c r="CH338" s="64"/>
      <c r="CI338" s="64"/>
      <c r="CJ338" s="64"/>
      <c r="CK338" s="64"/>
      <c r="CL338" s="64"/>
      <c r="CM338" s="64"/>
      <c r="CN338" s="64"/>
      <c r="CO338" s="64"/>
      <c r="CP338" s="64"/>
      <c r="CQ338" s="64"/>
      <c r="CR338" s="64"/>
      <c r="CS338" s="64"/>
      <c r="CT338" s="64"/>
      <c r="CU338" s="64"/>
      <c r="CV338" s="64"/>
      <c r="CW338" s="64"/>
      <c r="CX338" s="64"/>
      <c r="CY338" s="1011"/>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c r="FC338" s="64"/>
      <c r="FD338" s="64"/>
      <c r="FE338" s="64"/>
      <c r="FF338" s="64"/>
      <c r="FG338" s="64"/>
      <c r="FH338" s="64"/>
      <c r="FI338" s="64"/>
      <c r="FJ338" s="64"/>
      <c r="FK338" s="64"/>
      <c r="FL338" s="64"/>
      <c r="FM338" s="64"/>
      <c r="FN338" s="64"/>
      <c r="FO338" s="64"/>
      <c r="FP338" s="64"/>
      <c r="FQ338" s="64"/>
      <c r="FR338" s="64"/>
      <c r="FS338" s="64"/>
      <c r="FT338" s="64"/>
      <c r="FU338" s="64"/>
      <c r="FV338" s="64"/>
      <c r="FW338" s="64"/>
      <c r="FX338" s="64"/>
      <c r="FY338" s="64"/>
      <c r="FZ338" s="64"/>
      <c r="GA338" s="64"/>
      <c r="GB338" s="64"/>
      <c r="GC338" s="64"/>
      <c r="GD338" s="64"/>
      <c r="GE338" s="64"/>
      <c r="GF338" s="64"/>
      <c r="GG338" s="64"/>
      <c r="GH338" s="64"/>
      <c r="GI338" s="64"/>
      <c r="GJ338" s="64"/>
      <c r="GK338" s="64"/>
      <c r="GL338" s="64"/>
      <c r="GM338" s="64"/>
      <c r="GN338" s="64"/>
      <c r="GO338" s="64"/>
      <c r="GP338" s="64"/>
      <c r="GQ338" s="64"/>
      <c r="GR338" s="64"/>
      <c r="GS338" s="64"/>
      <c r="GT338" s="64"/>
      <c r="GU338" s="64"/>
      <c r="GV338" s="64"/>
      <c r="GW338" s="64"/>
      <c r="GX338" s="64"/>
      <c r="GY338" s="64"/>
      <c r="GZ338" s="64"/>
      <c r="HA338" s="64"/>
      <c r="HB338" s="64"/>
      <c r="HC338" s="64"/>
      <c r="HD338" s="64"/>
      <c r="HE338" s="64"/>
      <c r="HF338" s="64"/>
      <c r="HG338" s="64"/>
      <c r="HH338" s="64"/>
      <c r="HI338" s="64"/>
      <c r="HJ338" s="64"/>
      <c r="HK338" s="64"/>
      <c r="HL338" s="64"/>
      <c r="HM338" s="64"/>
      <c r="HN338" s="64"/>
      <c r="HO338" s="64"/>
      <c r="HP338" s="64"/>
      <c r="HQ338" s="64"/>
      <c r="HR338" s="64"/>
      <c r="HS338" s="64"/>
      <c r="HT338" s="64"/>
      <c r="HU338" s="64"/>
      <c r="HV338" s="64"/>
      <c r="HW338" s="64"/>
      <c r="HX338" s="64"/>
      <c r="HY338" s="64"/>
      <c r="HZ338" s="64"/>
      <c r="IA338" s="64"/>
      <c r="IB338" s="64"/>
      <c r="IC338" s="64"/>
      <c r="ID338" s="64"/>
      <c r="IE338" s="64"/>
      <c r="IF338" s="64"/>
      <c r="IG338" s="64"/>
      <c r="IH338" s="64"/>
      <c r="II338" s="64"/>
      <c r="IJ338" s="64"/>
      <c r="IK338" s="64"/>
      <c r="IL338" s="64"/>
      <c r="IM338" s="64"/>
      <c r="IN338" s="64"/>
      <c r="IO338" s="64"/>
      <c r="IP338" s="64"/>
      <c r="IQ338" s="64"/>
      <c r="IR338" s="64"/>
      <c r="IS338" s="64"/>
      <c r="IT338" s="64"/>
      <c r="IU338" s="64"/>
      <c r="IV338" s="64"/>
      <c r="IW338" s="64"/>
      <c r="IX338" s="64"/>
      <c r="IY338" s="64"/>
      <c r="IZ338" s="64"/>
      <c r="JA338" s="64"/>
      <c r="JB338" s="64"/>
      <c r="JC338" s="64"/>
      <c r="JD338" s="64"/>
      <c r="JE338" s="64"/>
      <c r="JF338" s="64"/>
      <c r="JG338" s="64"/>
      <c r="JH338" s="64"/>
      <c r="JI338" s="64"/>
    </row>
    <row r="339" spans="1:269" s="920" customFormat="1" x14ac:dyDescent="0.2">
      <c r="A339" s="116"/>
      <c r="B339" s="64"/>
      <c r="C339" s="64"/>
      <c r="D339" s="64"/>
      <c r="E339" s="64"/>
      <c r="F339" s="64"/>
      <c r="G339" s="64"/>
      <c r="H339" s="64"/>
      <c r="I339" s="64"/>
      <c r="J339" s="116"/>
      <c r="K339" s="116"/>
      <c r="L339" s="116"/>
      <c r="M339" s="116"/>
      <c r="N339" s="116"/>
      <c r="O339" s="116"/>
      <c r="P339" s="116"/>
      <c r="Q339" s="102"/>
      <c r="R339" s="102"/>
      <c r="S339" s="102"/>
      <c r="T339" s="102"/>
      <c r="U339" s="913"/>
      <c r="V339" s="114"/>
      <c r="W339" s="805"/>
      <c r="X339" s="805"/>
      <c r="Y339" s="805"/>
      <c r="Z339" s="914"/>
      <c r="AA339" s="102"/>
      <c r="AB339" s="102"/>
      <c r="AC339" s="102"/>
      <c r="AD339" s="102"/>
      <c r="AE339" s="102"/>
      <c r="AF339" s="102"/>
      <c r="AG339" s="102"/>
      <c r="AH339" s="102"/>
      <c r="AI339" s="102"/>
      <c r="AJ339" s="906"/>
      <c r="AK339" s="102"/>
      <c r="AL339" s="915"/>
      <c r="AM339" s="915"/>
      <c r="AN339" s="114"/>
      <c r="AO339" s="64"/>
      <c r="AP339" s="64"/>
      <c r="AQ339" s="64"/>
      <c r="AR339" s="916"/>
      <c r="AS339" s="916"/>
      <c r="AT339" s="916"/>
      <c r="AU339" s="917"/>
      <c r="AV339" s="917"/>
      <c r="AW339" s="917"/>
      <c r="AX339" s="918"/>
      <c r="AY339" s="916"/>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917"/>
      <c r="CA339" s="917"/>
      <c r="CB339" s="64"/>
      <c r="CC339" s="919"/>
      <c r="CD339" s="919"/>
      <c r="CE339" s="64"/>
      <c r="CF339" s="528"/>
      <c r="CG339" s="529"/>
      <c r="CH339" s="64"/>
      <c r="CI339" s="64"/>
      <c r="CJ339" s="64"/>
      <c r="CK339" s="64"/>
      <c r="CL339" s="64"/>
      <c r="CM339" s="64"/>
      <c r="CN339" s="64"/>
      <c r="CO339" s="64"/>
      <c r="CP339" s="64"/>
      <c r="CQ339" s="64"/>
      <c r="CR339" s="64"/>
      <c r="CS339" s="64"/>
      <c r="CT339" s="64"/>
      <c r="CU339" s="64"/>
      <c r="CV339" s="64"/>
      <c r="CW339" s="64"/>
      <c r="CX339" s="64"/>
      <c r="CY339" s="1011"/>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c r="FC339" s="64"/>
      <c r="FD339" s="64"/>
      <c r="FE339" s="64"/>
      <c r="FF339" s="64"/>
      <c r="FG339" s="64"/>
      <c r="FH339" s="64"/>
      <c r="FI339" s="64"/>
      <c r="FJ339" s="64"/>
      <c r="FK339" s="64"/>
      <c r="FL339" s="64"/>
      <c r="FM339" s="64"/>
      <c r="FN339" s="64"/>
      <c r="FO339" s="64"/>
      <c r="FP339" s="64"/>
      <c r="FQ339" s="64"/>
      <c r="FR339" s="64"/>
      <c r="FS339" s="64"/>
      <c r="FT339" s="64"/>
      <c r="FU339" s="64"/>
      <c r="FV339" s="64"/>
      <c r="FW339" s="64"/>
      <c r="FX339" s="64"/>
      <c r="FY339" s="64"/>
      <c r="FZ339" s="64"/>
      <c r="GA339" s="64"/>
      <c r="GB339" s="64"/>
      <c r="GC339" s="64"/>
      <c r="GD339" s="64"/>
      <c r="GE339" s="64"/>
      <c r="GF339" s="64"/>
      <c r="GG339" s="64"/>
      <c r="GH339" s="64"/>
      <c r="GI339" s="64"/>
      <c r="GJ339" s="64"/>
      <c r="GK339" s="64"/>
      <c r="GL339" s="64"/>
      <c r="GM339" s="64"/>
      <c r="GN339" s="64"/>
      <c r="GO339" s="64"/>
      <c r="GP339" s="64"/>
      <c r="GQ339" s="64"/>
      <c r="GR339" s="64"/>
      <c r="GS339" s="64"/>
      <c r="GT339" s="64"/>
      <c r="GU339" s="64"/>
      <c r="GV339" s="64"/>
      <c r="GW339" s="64"/>
      <c r="GX339" s="64"/>
      <c r="GY339" s="64"/>
      <c r="GZ339" s="64"/>
      <c r="HA339" s="64"/>
      <c r="HB339" s="64"/>
      <c r="HC339" s="64"/>
      <c r="HD339" s="64"/>
      <c r="HE339" s="64"/>
      <c r="HF339" s="64"/>
      <c r="HG339" s="64"/>
      <c r="HH339" s="64"/>
      <c r="HI339" s="64"/>
      <c r="HJ339" s="64"/>
      <c r="HK339" s="64"/>
      <c r="HL339" s="64"/>
      <c r="HM339" s="64"/>
      <c r="HN339" s="64"/>
      <c r="HO339" s="64"/>
      <c r="HP339" s="64"/>
      <c r="HQ339" s="64"/>
      <c r="HR339" s="64"/>
      <c r="HS339" s="64"/>
      <c r="HT339" s="64"/>
      <c r="HU339" s="64"/>
      <c r="HV339" s="64"/>
      <c r="HW339" s="64"/>
      <c r="HX339" s="64"/>
      <c r="HY339" s="64"/>
      <c r="HZ339" s="64"/>
      <c r="IA339" s="64"/>
      <c r="IB339" s="64"/>
      <c r="IC339" s="64"/>
      <c r="ID339" s="64"/>
      <c r="IE339" s="64"/>
      <c r="IF339" s="64"/>
      <c r="IG339" s="64"/>
      <c r="IH339" s="64"/>
      <c r="II339" s="64"/>
      <c r="IJ339" s="64"/>
      <c r="IK339" s="64"/>
      <c r="IL339" s="64"/>
      <c r="IM339" s="64"/>
      <c r="IN339" s="64"/>
      <c r="IO339" s="64"/>
      <c r="IP339" s="64"/>
      <c r="IQ339" s="64"/>
      <c r="IR339" s="64"/>
      <c r="IS339" s="64"/>
      <c r="IT339" s="64"/>
      <c r="IU339" s="64"/>
      <c r="IV339" s="64"/>
      <c r="IW339" s="64"/>
      <c r="IX339" s="64"/>
      <c r="IY339" s="64"/>
      <c r="IZ339" s="64"/>
      <c r="JA339" s="64"/>
      <c r="JB339" s="64"/>
      <c r="JC339" s="64"/>
      <c r="JD339" s="64"/>
      <c r="JE339" s="64"/>
      <c r="JF339" s="64"/>
      <c r="JG339" s="64"/>
      <c r="JH339" s="64"/>
      <c r="JI339" s="64"/>
    </row>
    <row r="340" spans="1:269" s="920" customFormat="1" x14ac:dyDescent="0.2">
      <c r="A340" s="116"/>
      <c r="B340" s="64"/>
      <c r="C340" s="64"/>
      <c r="D340" s="64"/>
      <c r="E340" s="64"/>
      <c r="F340" s="64"/>
      <c r="G340" s="64"/>
      <c r="H340" s="64"/>
      <c r="I340" s="64"/>
      <c r="J340" s="116"/>
      <c r="K340" s="116"/>
      <c r="L340" s="116"/>
      <c r="M340" s="116"/>
      <c r="N340" s="116"/>
      <c r="O340" s="116"/>
      <c r="P340" s="116"/>
      <c r="Q340" s="102"/>
      <c r="R340" s="102"/>
      <c r="S340" s="102"/>
      <c r="T340" s="102"/>
      <c r="U340" s="913"/>
      <c r="V340" s="114"/>
      <c r="W340" s="805"/>
      <c r="X340" s="805"/>
      <c r="Y340" s="805"/>
      <c r="Z340" s="914"/>
      <c r="AA340" s="102"/>
      <c r="AB340" s="102"/>
      <c r="AC340" s="102"/>
      <c r="AD340" s="102"/>
      <c r="AE340" s="102"/>
      <c r="AF340" s="102"/>
      <c r="AG340" s="102"/>
      <c r="AH340" s="102"/>
      <c r="AI340" s="102"/>
      <c r="AJ340" s="906"/>
      <c r="AK340" s="102"/>
      <c r="AL340" s="915"/>
      <c r="AM340" s="915"/>
      <c r="AN340" s="114"/>
      <c r="AO340" s="64"/>
      <c r="AP340" s="64"/>
      <c r="AQ340" s="64"/>
      <c r="AR340" s="916"/>
      <c r="AS340" s="916"/>
      <c r="AT340" s="916"/>
      <c r="AU340" s="917"/>
      <c r="AV340" s="917"/>
      <c r="AW340" s="917"/>
      <c r="AX340" s="918"/>
      <c r="AY340" s="916"/>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917"/>
      <c r="CA340" s="917"/>
      <c r="CB340" s="64"/>
      <c r="CC340" s="919"/>
      <c r="CD340" s="919"/>
      <c r="CE340" s="64"/>
      <c r="CF340" s="528"/>
      <c r="CG340" s="529"/>
      <c r="CH340" s="64"/>
      <c r="CI340" s="64"/>
      <c r="CJ340" s="64"/>
      <c r="CK340" s="64"/>
      <c r="CL340" s="64"/>
      <c r="CM340" s="64"/>
      <c r="CN340" s="64"/>
      <c r="CO340" s="64"/>
      <c r="CP340" s="64"/>
      <c r="CQ340" s="64"/>
      <c r="CR340" s="64"/>
      <c r="CS340" s="64"/>
      <c r="CT340" s="64"/>
      <c r="CU340" s="64"/>
      <c r="CV340" s="64"/>
      <c r="CW340" s="64"/>
      <c r="CX340" s="64"/>
      <c r="CY340" s="1011"/>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c r="FC340" s="64"/>
      <c r="FD340" s="64"/>
      <c r="FE340" s="64"/>
      <c r="FF340" s="64"/>
      <c r="FG340" s="64"/>
      <c r="FH340" s="64"/>
      <c r="FI340" s="64"/>
      <c r="FJ340" s="64"/>
      <c r="FK340" s="64"/>
      <c r="FL340" s="64"/>
      <c r="FM340" s="64"/>
      <c r="FN340" s="64"/>
      <c r="FO340" s="64"/>
      <c r="FP340" s="64"/>
      <c r="FQ340" s="64"/>
      <c r="FR340" s="64"/>
      <c r="FS340" s="64"/>
      <c r="FT340" s="64"/>
      <c r="FU340" s="64"/>
      <c r="FV340" s="64"/>
      <c r="FW340" s="64"/>
      <c r="FX340" s="64"/>
      <c r="FY340" s="64"/>
      <c r="FZ340" s="64"/>
      <c r="GA340" s="64"/>
      <c r="GB340" s="64"/>
      <c r="GC340" s="64"/>
      <c r="GD340" s="64"/>
      <c r="GE340" s="64"/>
      <c r="GF340" s="64"/>
      <c r="GG340" s="64"/>
      <c r="GH340" s="64"/>
      <c r="GI340" s="64"/>
      <c r="GJ340" s="64"/>
      <c r="GK340" s="64"/>
      <c r="GL340" s="64"/>
      <c r="GM340" s="64"/>
      <c r="GN340" s="64"/>
      <c r="GO340" s="64"/>
      <c r="GP340" s="64"/>
      <c r="GQ340" s="64"/>
      <c r="GR340" s="64"/>
      <c r="GS340" s="64"/>
      <c r="GT340" s="64"/>
      <c r="GU340" s="64"/>
      <c r="GV340" s="64"/>
      <c r="GW340" s="64"/>
      <c r="GX340" s="64"/>
      <c r="GY340" s="64"/>
      <c r="GZ340" s="64"/>
      <c r="HA340" s="64"/>
      <c r="HB340" s="64"/>
      <c r="HC340" s="64"/>
      <c r="HD340" s="64"/>
      <c r="HE340" s="64"/>
      <c r="HF340" s="64"/>
      <c r="HG340" s="64"/>
      <c r="HH340" s="64"/>
      <c r="HI340" s="64"/>
      <c r="HJ340" s="64"/>
      <c r="HK340" s="64"/>
      <c r="HL340" s="64"/>
      <c r="HM340" s="64"/>
      <c r="HN340" s="64"/>
      <c r="HO340" s="64"/>
      <c r="HP340" s="64"/>
      <c r="HQ340" s="64"/>
      <c r="HR340" s="64"/>
      <c r="HS340" s="64"/>
      <c r="HT340" s="64"/>
      <c r="HU340" s="64"/>
      <c r="HV340" s="64"/>
      <c r="HW340" s="64"/>
      <c r="HX340" s="64"/>
      <c r="HY340" s="64"/>
      <c r="HZ340" s="64"/>
      <c r="IA340" s="64"/>
      <c r="IB340" s="64"/>
      <c r="IC340" s="64"/>
      <c r="ID340" s="64"/>
      <c r="IE340" s="64"/>
      <c r="IF340" s="64"/>
      <c r="IG340" s="64"/>
      <c r="IH340" s="64"/>
      <c r="II340" s="64"/>
      <c r="IJ340" s="64"/>
      <c r="IK340" s="64"/>
      <c r="IL340" s="64"/>
      <c r="IM340" s="64"/>
      <c r="IN340" s="64"/>
      <c r="IO340" s="64"/>
      <c r="IP340" s="64"/>
      <c r="IQ340" s="64"/>
      <c r="IR340" s="64"/>
      <c r="IS340" s="64"/>
      <c r="IT340" s="64"/>
      <c r="IU340" s="64"/>
      <c r="IV340" s="64"/>
      <c r="IW340" s="64"/>
      <c r="IX340" s="64"/>
      <c r="IY340" s="64"/>
      <c r="IZ340" s="64"/>
      <c r="JA340" s="64"/>
      <c r="JB340" s="64"/>
      <c r="JC340" s="64"/>
      <c r="JD340" s="64"/>
      <c r="JE340" s="64"/>
      <c r="JF340" s="64"/>
      <c r="JG340" s="64"/>
      <c r="JH340" s="64"/>
      <c r="JI340" s="64"/>
    </row>
    <row r="341" spans="1:269" s="920" customFormat="1" x14ac:dyDescent="0.2">
      <c r="A341" s="116"/>
      <c r="B341" s="64"/>
      <c r="C341" s="64"/>
      <c r="D341" s="64"/>
      <c r="E341" s="64"/>
      <c r="F341" s="64"/>
      <c r="G341" s="64"/>
      <c r="H341" s="64"/>
      <c r="I341" s="64"/>
      <c r="J341" s="116"/>
      <c r="K341" s="116"/>
      <c r="L341" s="116"/>
      <c r="M341" s="116"/>
      <c r="N341" s="116"/>
      <c r="O341" s="116"/>
      <c r="P341" s="116"/>
      <c r="Q341" s="102"/>
      <c r="R341" s="102"/>
      <c r="S341" s="102"/>
      <c r="T341" s="102"/>
      <c r="U341" s="913"/>
      <c r="V341" s="114"/>
      <c r="W341" s="805"/>
      <c r="X341" s="805"/>
      <c r="Y341" s="805"/>
      <c r="Z341" s="914"/>
      <c r="AA341" s="102"/>
      <c r="AB341" s="102"/>
      <c r="AC341" s="102"/>
      <c r="AD341" s="102"/>
      <c r="AE341" s="102"/>
      <c r="AF341" s="102"/>
      <c r="AG341" s="102"/>
      <c r="AH341" s="102"/>
      <c r="AI341" s="102"/>
      <c r="AJ341" s="906"/>
      <c r="AK341" s="102"/>
      <c r="AL341" s="915"/>
      <c r="AM341" s="915"/>
      <c r="AN341" s="114"/>
      <c r="AO341" s="64"/>
      <c r="AP341" s="64"/>
      <c r="AQ341" s="64"/>
      <c r="AR341" s="916"/>
      <c r="AS341" s="916"/>
      <c r="AT341" s="916"/>
      <c r="AU341" s="917"/>
      <c r="AV341" s="917"/>
      <c r="AW341" s="917"/>
      <c r="AX341" s="918"/>
      <c r="AY341" s="916"/>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917"/>
      <c r="CA341" s="917"/>
      <c r="CB341" s="64"/>
      <c r="CC341" s="919"/>
      <c r="CD341" s="919"/>
      <c r="CE341" s="64"/>
      <c r="CF341" s="528"/>
      <c r="CG341" s="529"/>
      <c r="CH341" s="64"/>
      <c r="CI341" s="64"/>
      <c r="CJ341" s="64"/>
      <c r="CK341" s="64"/>
      <c r="CL341" s="64"/>
      <c r="CM341" s="64"/>
      <c r="CN341" s="64"/>
      <c r="CO341" s="64"/>
      <c r="CP341" s="64"/>
      <c r="CQ341" s="64"/>
      <c r="CR341" s="64"/>
      <c r="CS341" s="64"/>
      <c r="CT341" s="64"/>
      <c r="CU341" s="64"/>
      <c r="CV341" s="64"/>
      <c r="CW341" s="64"/>
      <c r="CX341" s="64"/>
      <c r="CY341" s="1011"/>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c r="FC341" s="64"/>
      <c r="FD341" s="64"/>
      <c r="FE341" s="64"/>
      <c r="FF341" s="64"/>
      <c r="FG341" s="64"/>
      <c r="FH341" s="64"/>
      <c r="FI341" s="64"/>
      <c r="FJ341" s="64"/>
      <c r="FK341" s="64"/>
      <c r="FL341" s="64"/>
      <c r="FM341" s="64"/>
      <c r="FN341" s="64"/>
      <c r="FO341" s="64"/>
      <c r="FP341" s="64"/>
      <c r="FQ341" s="64"/>
      <c r="FR341" s="64"/>
      <c r="FS341" s="64"/>
      <c r="FT341" s="64"/>
      <c r="FU341" s="64"/>
      <c r="FV341" s="64"/>
      <c r="FW341" s="64"/>
      <c r="FX341" s="64"/>
      <c r="FY341" s="64"/>
      <c r="FZ341" s="64"/>
      <c r="GA341" s="64"/>
      <c r="GB341" s="64"/>
      <c r="GC341" s="64"/>
      <c r="GD341" s="64"/>
      <c r="GE341" s="64"/>
      <c r="GF341" s="64"/>
      <c r="GG341" s="64"/>
      <c r="GH341" s="64"/>
      <c r="GI341" s="64"/>
      <c r="GJ341" s="64"/>
      <c r="GK341" s="64"/>
      <c r="GL341" s="64"/>
      <c r="GM341" s="64"/>
      <c r="GN341" s="64"/>
      <c r="GO341" s="64"/>
      <c r="GP341" s="64"/>
      <c r="GQ341" s="64"/>
      <c r="GR341" s="64"/>
      <c r="GS341" s="64"/>
      <c r="GT341" s="64"/>
      <c r="GU341" s="64"/>
      <c r="GV341" s="64"/>
      <c r="GW341" s="64"/>
      <c r="GX341" s="64"/>
      <c r="GY341" s="64"/>
      <c r="GZ341" s="64"/>
      <c r="HA341" s="64"/>
      <c r="HB341" s="64"/>
      <c r="HC341" s="64"/>
      <c r="HD341" s="64"/>
      <c r="HE341" s="64"/>
      <c r="HF341" s="64"/>
      <c r="HG341" s="64"/>
      <c r="HH341" s="64"/>
      <c r="HI341" s="64"/>
      <c r="HJ341" s="64"/>
      <c r="HK341" s="64"/>
      <c r="HL341" s="64"/>
      <c r="HM341" s="64"/>
      <c r="HN341" s="64"/>
      <c r="HO341" s="64"/>
      <c r="HP341" s="64"/>
      <c r="HQ341" s="64"/>
      <c r="HR341" s="64"/>
      <c r="HS341" s="64"/>
      <c r="HT341" s="64"/>
      <c r="HU341" s="64"/>
      <c r="HV341" s="64"/>
      <c r="HW341" s="64"/>
      <c r="HX341" s="64"/>
      <c r="HY341" s="64"/>
      <c r="HZ341" s="64"/>
      <c r="IA341" s="64"/>
      <c r="IB341" s="64"/>
      <c r="IC341" s="64"/>
      <c r="ID341" s="64"/>
      <c r="IE341" s="64"/>
      <c r="IF341" s="64"/>
      <c r="IG341" s="64"/>
      <c r="IH341" s="64"/>
      <c r="II341" s="64"/>
      <c r="IJ341" s="64"/>
      <c r="IK341" s="64"/>
      <c r="IL341" s="64"/>
      <c r="IM341" s="64"/>
      <c r="IN341" s="64"/>
      <c r="IO341" s="64"/>
      <c r="IP341" s="64"/>
      <c r="IQ341" s="64"/>
      <c r="IR341" s="64"/>
      <c r="IS341" s="64"/>
      <c r="IT341" s="64"/>
      <c r="IU341" s="64"/>
      <c r="IV341" s="64"/>
      <c r="IW341" s="64"/>
      <c r="IX341" s="64"/>
      <c r="IY341" s="64"/>
      <c r="IZ341" s="64"/>
      <c r="JA341" s="64"/>
      <c r="JB341" s="64"/>
      <c r="JC341" s="64"/>
      <c r="JD341" s="64"/>
      <c r="JE341" s="64"/>
      <c r="JF341" s="64"/>
      <c r="JG341" s="64"/>
      <c r="JH341" s="64"/>
      <c r="JI341" s="64"/>
    </row>
    <row r="342" spans="1:269" s="920" customFormat="1" x14ac:dyDescent="0.2">
      <c r="A342" s="116"/>
      <c r="B342" s="64"/>
      <c r="C342" s="64"/>
      <c r="D342" s="64"/>
      <c r="E342" s="64"/>
      <c r="F342" s="64"/>
      <c r="G342" s="64"/>
      <c r="H342" s="64"/>
      <c r="I342" s="64"/>
      <c r="J342" s="116"/>
      <c r="K342" s="116"/>
      <c r="L342" s="116"/>
      <c r="M342" s="116"/>
      <c r="N342" s="116"/>
      <c r="O342" s="116"/>
      <c r="P342" s="116"/>
      <c r="Q342" s="102"/>
      <c r="R342" s="102"/>
      <c r="S342" s="102"/>
      <c r="T342" s="102"/>
      <c r="U342" s="913"/>
      <c r="V342" s="114"/>
      <c r="W342" s="805"/>
      <c r="X342" s="805"/>
      <c r="Y342" s="805"/>
      <c r="Z342" s="914"/>
      <c r="AA342" s="102"/>
      <c r="AB342" s="102"/>
      <c r="AC342" s="102"/>
      <c r="AD342" s="102"/>
      <c r="AE342" s="102"/>
      <c r="AF342" s="102"/>
      <c r="AG342" s="102"/>
      <c r="AH342" s="102"/>
      <c r="AI342" s="102"/>
      <c r="AJ342" s="906"/>
      <c r="AK342" s="102"/>
      <c r="AL342" s="915"/>
      <c r="AM342" s="915"/>
      <c r="AN342" s="114"/>
      <c r="AO342" s="64"/>
      <c r="AP342" s="64"/>
      <c r="AQ342" s="64"/>
      <c r="AR342" s="916"/>
      <c r="AS342" s="916"/>
      <c r="AT342" s="916"/>
      <c r="AU342" s="917"/>
      <c r="AV342" s="917"/>
      <c r="AW342" s="917"/>
      <c r="AX342" s="918"/>
      <c r="AY342" s="916"/>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917"/>
      <c r="CA342" s="917"/>
      <c r="CB342" s="64"/>
      <c r="CC342" s="919"/>
      <c r="CD342" s="919"/>
      <c r="CE342" s="64"/>
      <c r="CF342" s="528"/>
      <c r="CG342" s="529"/>
      <c r="CH342" s="64"/>
      <c r="CI342" s="64"/>
      <c r="CJ342" s="64"/>
      <c r="CK342" s="64"/>
      <c r="CL342" s="64"/>
      <c r="CM342" s="64"/>
      <c r="CN342" s="64"/>
      <c r="CO342" s="64"/>
      <c r="CP342" s="64"/>
      <c r="CQ342" s="64"/>
      <c r="CR342" s="64"/>
      <c r="CS342" s="64"/>
      <c r="CT342" s="64"/>
      <c r="CU342" s="64"/>
      <c r="CV342" s="64"/>
      <c r="CW342" s="64"/>
      <c r="CX342" s="64"/>
      <c r="CY342" s="1011"/>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c r="FC342" s="64"/>
      <c r="FD342" s="64"/>
      <c r="FE342" s="64"/>
      <c r="FF342" s="64"/>
      <c r="FG342" s="64"/>
      <c r="FH342" s="64"/>
      <c r="FI342" s="64"/>
      <c r="FJ342" s="64"/>
      <c r="FK342" s="64"/>
      <c r="FL342" s="64"/>
      <c r="FM342" s="64"/>
      <c r="FN342" s="64"/>
      <c r="FO342" s="64"/>
      <c r="FP342" s="64"/>
      <c r="FQ342" s="64"/>
      <c r="FR342" s="64"/>
      <c r="FS342" s="64"/>
      <c r="FT342" s="64"/>
      <c r="FU342" s="64"/>
      <c r="FV342" s="64"/>
      <c r="FW342" s="64"/>
      <c r="FX342" s="64"/>
      <c r="FY342" s="64"/>
      <c r="FZ342" s="64"/>
      <c r="GA342" s="64"/>
      <c r="GB342" s="64"/>
      <c r="GC342" s="64"/>
      <c r="GD342" s="64"/>
      <c r="GE342" s="64"/>
      <c r="GF342" s="64"/>
      <c r="GG342" s="64"/>
      <c r="GH342" s="64"/>
      <c r="GI342" s="64"/>
      <c r="GJ342" s="64"/>
      <c r="GK342" s="64"/>
      <c r="GL342" s="64"/>
      <c r="GM342" s="64"/>
      <c r="GN342" s="64"/>
      <c r="GO342" s="64"/>
      <c r="GP342" s="64"/>
      <c r="GQ342" s="64"/>
      <c r="GR342" s="64"/>
      <c r="GS342" s="64"/>
      <c r="GT342" s="64"/>
      <c r="GU342" s="64"/>
      <c r="GV342" s="64"/>
      <c r="GW342" s="64"/>
      <c r="GX342" s="64"/>
      <c r="GY342" s="64"/>
      <c r="GZ342" s="64"/>
      <c r="HA342" s="64"/>
      <c r="HB342" s="64"/>
      <c r="HC342" s="64"/>
      <c r="HD342" s="64"/>
      <c r="HE342" s="64"/>
      <c r="HF342" s="64"/>
      <c r="HG342" s="64"/>
      <c r="HH342" s="64"/>
      <c r="HI342" s="64"/>
      <c r="HJ342" s="64"/>
      <c r="HK342" s="64"/>
      <c r="HL342" s="64"/>
      <c r="HM342" s="64"/>
      <c r="HN342" s="64"/>
      <c r="HO342" s="64"/>
      <c r="HP342" s="64"/>
      <c r="HQ342" s="64"/>
      <c r="HR342" s="64"/>
      <c r="HS342" s="64"/>
      <c r="HT342" s="64"/>
      <c r="HU342" s="64"/>
      <c r="HV342" s="64"/>
      <c r="HW342" s="64"/>
      <c r="HX342" s="64"/>
      <c r="HY342" s="64"/>
      <c r="HZ342" s="64"/>
      <c r="IA342" s="64"/>
      <c r="IB342" s="64"/>
      <c r="IC342" s="64"/>
      <c r="ID342" s="64"/>
      <c r="IE342" s="64"/>
      <c r="IF342" s="64"/>
      <c r="IG342" s="64"/>
      <c r="IH342" s="64"/>
      <c r="II342" s="64"/>
      <c r="IJ342" s="64"/>
      <c r="IK342" s="64"/>
      <c r="IL342" s="64"/>
      <c r="IM342" s="64"/>
      <c r="IN342" s="64"/>
      <c r="IO342" s="64"/>
      <c r="IP342" s="64"/>
      <c r="IQ342" s="64"/>
      <c r="IR342" s="64"/>
      <c r="IS342" s="64"/>
      <c r="IT342" s="64"/>
      <c r="IU342" s="64"/>
      <c r="IV342" s="64"/>
      <c r="IW342" s="64"/>
      <c r="IX342" s="64"/>
      <c r="IY342" s="64"/>
      <c r="IZ342" s="64"/>
      <c r="JA342" s="64"/>
      <c r="JB342" s="64"/>
      <c r="JC342" s="64"/>
      <c r="JD342" s="64"/>
      <c r="JE342" s="64"/>
      <c r="JF342" s="64"/>
      <c r="JG342" s="64"/>
      <c r="JH342" s="64"/>
      <c r="JI342" s="64"/>
    </row>
    <row r="343" spans="1:269" s="920" customFormat="1" x14ac:dyDescent="0.2">
      <c r="A343" s="116"/>
      <c r="B343" s="64"/>
      <c r="C343" s="64"/>
      <c r="D343" s="64"/>
      <c r="E343" s="64"/>
      <c r="F343" s="64"/>
      <c r="G343" s="64"/>
      <c r="H343" s="64"/>
      <c r="I343" s="64"/>
      <c r="J343" s="116"/>
      <c r="K343" s="116"/>
      <c r="L343" s="116"/>
      <c r="M343" s="116"/>
      <c r="N343" s="116"/>
      <c r="O343" s="116"/>
      <c r="P343" s="116"/>
      <c r="Q343" s="102"/>
      <c r="R343" s="102"/>
      <c r="S343" s="102"/>
      <c r="T343" s="102"/>
      <c r="U343" s="913"/>
      <c r="V343" s="114"/>
      <c r="W343" s="805"/>
      <c r="X343" s="805"/>
      <c r="Y343" s="805"/>
      <c r="Z343" s="914"/>
      <c r="AA343" s="102"/>
      <c r="AB343" s="102"/>
      <c r="AC343" s="102"/>
      <c r="AD343" s="102"/>
      <c r="AE343" s="102"/>
      <c r="AF343" s="102"/>
      <c r="AG343" s="102"/>
      <c r="AH343" s="102"/>
      <c r="AI343" s="102"/>
      <c r="AJ343" s="906"/>
      <c r="AK343" s="102"/>
      <c r="AL343" s="915"/>
      <c r="AM343" s="915"/>
      <c r="AN343" s="114"/>
      <c r="AO343" s="64"/>
      <c r="AP343" s="64"/>
      <c r="AQ343" s="64"/>
      <c r="AR343" s="916"/>
      <c r="AS343" s="916"/>
      <c r="AT343" s="916"/>
      <c r="AU343" s="917"/>
      <c r="AV343" s="917"/>
      <c r="AW343" s="917"/>
      <c r="AX343" s="918"/>
      <c r="AY343" s="916"/>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917"/>
      <c r="CA343" s="917"/>
      <c r="CB343" s="64"/>
      <c r="CC343" s="919"/>
      <c r="CD343" s="919"/>
      <c r="CE343" s="64"/>
      <c r="CF343" s="528"/>
      <c r="CG343" s="529"/>
      <c r="CH343" s="64"/>
      <c r="CI343" s="64"/>
      <c r="CJ343" s="64"/>
      <c r="CK343" s="64"/>
      <c r="CL343" s="64"/>
      <c r="CM343" s="64"/>
      <c r="CN343" s="64"/>
      <c r="CO343" s="64"/>
      <c r="CP343" s="64"/>
      <c r="CQ343" s="64"/>
      <c r="CR343" s="64"/>
      <c r="CS343" s="64"/>
      <c r="CT343" s="64"/>
      <c r="CU343" s="64"/>
      <c r="CV343" s="64"/>
      <c r="CW343" s="64"/>
      <c r="CX343" s="64"/>
      <c r="CY343" s="1011"/>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c r="FC343" s="64"/>
      <c r="FD343" s="64"/>
      <c r="FE343" s="64"/>
      <c r="FF343" s="64"/>
      <c r="FG343" s="64"/>
      <c r="FH343" s="64"/>
      <c r="FI343" s="64"/>
      <c r="FJ343" s="64"/>
      <c r="FK343" s="64"/>
      <c r="FL343" s="64"/>
      <c r="FM343" s="64"/>
      <c r="FN343" s="64"/>
      <c r="FO343" s="64"/>
      <c r="FP343" s="64"/>
      <c r="FQ343" s="64"/>
      <c r="FR343" s="64"/>
      <c r="FS343" s="64"/>
      <c r="FT343" s="64"/>
      <c r="FU343" s="64"/>
      <c r="FV343" s="64"/>
      <c r="FW343" s="64"/>
      <c r="FX343" s="64"/>
      <c r="FY343" s="64"/>
      <c r="FZ343" s="64"/>
      <c r="GA343" s="64"/>
      <c r="GB343" s="64"/>
      <c r="GC343" s="64"/>
      <c r="GD343" s="64"/>
      <c r="GE343" s="64"/>
      <c r="GF343" s="64"/>
      <c r="GG343" s="64"/>
      <c r="GH343" s="64"/>
      <c r="GI343" s="64"/>
      <c r="GJ343" s="64"/>
      <c r="GK343" s="64"/>
      <c r="GL343" s="64"/>
      <c r="GM343" s="64"/>
      <c r="GN343" s="64"/>
      <c r="GO343" s="64"/>
      <c r="GP343" s="64"/>
      <c r="GQ343" s="64"/>
      <c r="GR343" s="64"/>
      <c r="GS343" s="64"/>
      <c r="GT343" s="64"/>
      <c r="GU343" s="64"/>
      <c r="GV343" s="64"/>
      <c r="GW343" s="64"/>
      <c r="GX343" s="64"/>
      <c r="GY343" s="64"/>
      <c r="GZ343" s="64"/>
      <c r="HA343" s="64"/>
      <c r="HB343" s="64"/>
      <c r="HC343" s="64"/>
      <c r="HD343" s="64"/>
      <c r="HE343" s="64"/>
      <c r="HF343" s="64"/>
      <c r="HG343" s="64"/>
      <c r="HH343" s="64"/>
      <c r="HI343" s="64"/>
      <c r="HJ343" s="64"/>
      <c r="HK343" s="64"/>
      <c r="HL343" s="64"/>
      <c r="HM343" s="64"/>
      <c r="HN343" s="64"/>
      <c r="HO343" s="64"/>
      <c r="HP343" s="64"/>
      <c r="HQ343" s="64"/>
      <c r="HR343" s="64"/>
      <c r="HS343" s="64"/>
      <c r="HT343" s="64"/>
      <c r="HU343" s="64"/>
      <c r="HV343" s="64"/>
      <c r="HW343" s="64"/>
      <c r="HX343" s="64"/>
      <c r="HY343" s="64"/>
      <c r="HZ343" s="64"/>
      <c r="IA343" s="64"/>
      <c r="IB343" s="64"/>
      <c r="IC343" s="64"/>
      <c r="ID343" s="64"/>
      <c r="IE343" s="64"/>
      <c r="IF343" s="64"/>
      <c r="IG343" s="64"/>
      <c r="IH343" s="64"/>
      <c r="II343" s="64"/>
      <c r="IJ343" s="64"/>
      <c r="IK343" s="64"/>
      <c r="IL343" s="64"/>
      <c r="IM343" s="64"/>
      <c r="IN343" s="64"/>
      <c r="IO343" s="64"/>
      <c r="IP343" s="64"/>
      <c r="IQ343" s="64"/>
      <c r="IR343" s="64"/>
      <c r="IS343" s="64"/>
      <c r="IT343" s="64"/>
      <c r="IU343" s="64"/>
      <c r="IV343" s="64"/>
      <c r="IW343" s="64"/>
      <c r="IX343" s="64"/>
      <c r="IY343" s="64"/>
      <c r="IZ343" s="64"/>
      <c r="JA343" s="64"/>
      <c r="JB343" s="64"/>
      <c r="JC343" s="64"/>
      <c r="JD343" s="64"/>
      <c r="JE343" s="64"/>
      <c r="JF343" s="64"/>
      <c r="JG343" s="64"/>
      <c r="JH343" s="64"/>
      <c r="JI343" s="64"/>
    </row>
    <row r="344" spans="1:269" s="920" customFormat="1" x14ac:dyDescent="0.2">
      <c r="A344" s="116"/>
      <c r="B344" s="64"/>
      <c r="C344" s="64"/>
      <c r="D344" s="64"/>
      <c r="E344" s="64"/>
      <c r="F344" s="64"/>
      <c r="G344" s="64"/>
      <c r="H344" s="64"/>
      <c r="I344" s="64"/>
      <c r="J344" s="116"/>
      <c r="K344" s="116"/>
      <c r="L344" s="116"/>
      <c r="M344" s="116"/>
      <c r="N344" s="116"/>
      <c r="O344" s="116"/>
      <c r="P344" s="116"/>
      <c r="Q344" s="102"/>
      <c r="R344" s="102"/>
      <c r="S344" s="102"/>
      <c r="T344" s="102"/>
      <c r="U344" s="913"/>
      <c r="V344" s="114"/>
      <c r="W344" s="805"/>
      <c r="X344" s="805"/>
      <c r="Y344" s="805"/>
      <c r="Z344" s="914"/>
      <c r="AA344" s="102"/>
      <c r="AB344" s="102"/>
      <c r="AC344" s="102"/>
      <c r="AD344" s="102"/>
      <c r="AE344" s="102"/>
      <c r="AF344" s="102"/>
      <c r="AG344" s="102"/>
      <c r="AH344" s="102"/>
      <c r="AI344" s="102"/>
      <c r="AJ344" s="906"/>
      <c r="AK344" s="102"/>
      <c r="AL344" s="915"/>
      <c r="AM344" s="915"/>
      <c r="AN344" s="114"/>
      <c r="AO344" s="64"/>
      <c r="AP344" s="64"/>
      <c r="AQ344" s="64"/>
      <c r="AR344" s="916"/>
      <c r="AS344" s="916"/>
      <c r="AT344" s="916"/>
      <c r="AU344" s="917"/>
      <c r="AV344" s="917"/>
      <c r="AW344" s="917"/>
      <c r="AX344" s="918"/>
      <c r="AY344" s="916"/>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917"/>
      <c r="CA344" s="917"/>
      <c r="CB344" s="64"/>
      <c r="CC344" s="919"/>
      <c r="CD344" s="919"/>
      <c r="CE344" s="64"/>
      <c r="CF344" s="528"/>
      <c r="CG344" s="529"/>
      <c r="CH344" s="64"/>
      <c r="CI344" s="64"/>
      <c r="CJ344" s="64"/>
      <c r="CK344" s="64"/>
      <c r="CL344" s="64"/>
      <c r="CM344" s="64"/>
      <c r="CN344" s="64"/>
      <c r="CO344" s="64"/>
      <c r="CP344" s="64"/>
      <c r="CQ344" s="64"/>
      <c r="CR344" s="64"/>
      <c r="CS344" s="64"/>
      <c r="CT344" s="64"/>
      <c r="CU344" s="64"/>
      <c r="CV344" s="64"/>
      <c r="CW344" s="64"/>
      <c r="CX344" s="64"/>
      <c r="CY344" s="1011"/>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c r="FC344" s="64"/>
      <c r="FD344" s="64"/>
      <c r="FE344" s="64"/>
      <c r="FF344" s="64"/>
      <c r="FG344" s="64"/>
      <c r="FH344" s="64"/>
      <c r="FI344" s="64"/>
      <c r="FJ344" s="64"/>
      <c r="FK344" s="64"/>
      <c r="FL344" s="64"/>
      <c r="FM344" s="64"/>
      <c r="FN344" s="64"/>
      <c r="FO344" s="64"/>
      <c r="FP344" s="64"/>
      <c r="FQ344" s="64"/>
      <c r="FR344" s="64"/>
      <c r="FS344" s="64"/>
      <c r="FT344" s="64"/>
      <c r="FU344" s="64"/>
      <c r="FV344" s="64"/>
      <c r="FW344" s="64"/>
      <c r="FX344" s="64"/>
      <c r="FY344" s="64"/>
      <c r="FZ344" s="64"/>
      <c r="GA344" s="64"/>
      <c r="GB344" s="64"/>
      <c r="GC344" s="64"/>
      <c r="GD344" s="64"/>
      <c r="GE344" s="64"/>
      <c r="GF344" s="64"/>
      <c r="GG344" s="64"/>
      <c r="GH344" s="64"/>
      <c r="GI344" s="64"/>
      <c r="GJ344" s="64"/>
      <c r="GK344" s="64"/>
      <c r="GL344" s="64"/>
      <c r="GM344" s="64"/>
      <c r="GN344" s="64"/>
      <c r="GO344" s="64"/>
      <c r="GP344" s="64"/>
      <c r="GQ344" s="64"/>
      <c r="GR344" s="64"/>
      <c r="GS344" s="64"/>
      <c r="GT344" s="64"/>
      <c r="GU344" s="64"/>
      <c r="GV344" s="64"/>
      <c r="GW344" s="64"/>
      <c r="GX344" s="64"/>
      <c r="GY344" s="64"/>
      <c r="GZ344" s="64"/>
      <c r="HA344" s="64"/>
      <c r="HB344" s="64"/>
      <c r="HC344" s="64"/>
      <c r="HD344" s="64"/>
      <c r="HE344" s="64"/>
      <c r="HF344" s="64"/>
      <c r="HG344" s="64"/>
      <c r="HH344" s="64"/>
      <c r="HI344" s="64"/>
      <c r="HJ344" s="64"/>
      <c r="HK344" s="64"/>
      <c r="HL344" s="64"/>
      <c r="HM344" s="64"/>
      <c r="HN344" s="64"/>
      <c r="HO344" s="64"/>
      <c r="HP344" s="64"/>
      <c r="HQ344" s="64"/>
      <c r="HR344" s="64"/>
      <c r="HS344" s="64"/>
      <c r="HT344" s="64"/>
      <c r="HU344" s="64"/>
      <c r="HV344" s="64"/>
      <c r="HW344" s="64"/>
      <c r="HX344" s="64"/>
      <c r="HY344" s="64"/>
      <c r="HZ344" s="64"/>
      <c r="IA344" s="64"/>
      <c r="IB344" s="64"/>
      <c r="IC344" s="64"/>
      <c r="ID344" s="64"/>
      <c r="IE344" s="64"/>
      <c r="IF344" s="64"/>
      <c r="IG344" s="64"/>
      <c r="IH344" s="64"/>
      <c r="II344" s="64"/>
      <c r="IJ344" s="64"/>
      <c r="IK344" s="64"/>
      <c r="IL344" s="64"/>
      <c r="IM344" s="64"/>
      <c r="IN344" s="64"/>
      <c r="IO344" s="64"/>
      <c r="IP344" s="64"/>
      <c r="IQ344" s="64"/>
      <c r="IR344" s="64"/>
      <c r="IS344" s="64"/>
      <c r="IT344" s="64"/>
      <c r="IU344" s="64"/>
      <c r="IV344" s="64"/>
      <c r="IW344" s="64"/>
      <c r="IX344" s="64"/>
      <c r="IY344" s="64"/>
      <c r="IZ344" s="64"/>
      <c r="JA344" s="64"/>
      <c r="JB344" s="64"/>
      <c r="JC344" s="64"/>
      <c r="JD344" s="64"/>
      <c r="JE344" s="64"/>
      <c r="JF344" s="64"/>
      <c r="JG344" s="64"/>
      <c r="JH344" s="64"/>
      <c r="JI344" s="64"/>
    </row>
    <row r="345" spans="1:269" s="920" customFormat="1" x14ac:dyDescent="0.2">
      <c r="A345" s="116"/>
      <c r="B345" s="64"/>
      <c r="C345" s="64"/>
      <c r="D345" s="64"/>
      <c r="E345" s="64"/>
      <c r="F345" s="64"/>
      <c r="G345" s="64"/>
      <c r="H345" s="64"/>
      <c r="I345" s="64"/>
      <c r="J345" s="116"/>
      <c r="K345" s="116"/>
      <c r="L345" s="116"/>
      <c r="M345" s="116"/>
      <c r="N345" s="116"/>
      <c r="O345" s="116"/>
      <c r="P345" s="116"/>
      <c r="Q345" s="102"/>
      <c r="R345" s="102"/>
      <c r="S345" s="102"/>
      <c r="T345" s="102"/>
      <c r="U345" s="913"/>
      <c r="V345" s="114"/>
      <c r="W345" s="805"/>
      <c r="X345" s="805"/>
      <c r="Y345" s="805"/>
      <c r="Z345" s="914"/>
      <c r="AA345" s="102"/>
      <c r="AB345" s="102"/>
      <c r="AC345" s="102"/>
      <c r="AD345" s="102"/>
      <c r="AE345" s="102"/>
      <c r="AF345" s="102"/>
      <c r="AG345" s="102"/>
      <c r="AH345" s="102"/>
      <c r="AI345" s="102"/>
      <c r="AJ345" s="906"/>
      <c r="AK345" s="102"/>
      <c r="AL345" s="915"/>
      <c r="AM345" s="915"/>
      <c r="AN345" s="114"/>
      <c r="AO345" s="64"/>
      <c r="AP345" s="64"/>
      <c r="AQ345" s="64"/>
      <c r="AR345" s="916"/>
      <c r="AS345" s="916"/>
      <c r="AT345" s="916"/>
      <c r="AU345" s="917"/>
      <c r="AV345" s="917"/>
      <c r="AW345" s="917"/>
      <c r="AX345" s="918"/>
      <c r="AY345" s="916"/>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917"/>
      <c r="CA345" s="917"/>
      <c r="CB345" s="64"/>
      <c r="CC345" s="919"/>
      <c r="CD345" s="919"/>
      <c r="CE345" s="64"/>
      <c r="CF345" s="528"/>
      <c r="CG345" s="529"/>
      <c r="CH345" s="64"/>
      <c r="CI345" s="64"/>
      <c r="CJ345" s="64"/>
      <c r="CK345" s="64"/>
      <c r="CL345" s="64"/>
      <c r="CM345" s="64"/>
      <c r="CN345" s="64"/>
      <c r="CO345" s="64"/>
      <c r="CP345" s="64"/>
      <c r="CQ345" s="64"/>
      <c r="CR345" s="64"/>
      <c r="CS345" s="64"/>
      <c r="CT345" s="64"/>
      <c r="CU345" s="64"/>
      <c r="CV345" s="64"/>
      <c r="CW345" s="64"/>
      <c r="CX345" s="64"/>
      <c r="CY345" s="1011"/>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c r="FC345" s="64"/>
      <c r="FD345" s="64"/>
      <c r="FE345" s="64"/>
      <c r="FF345" s="64"/>
      <c r="FG345" s="64"/>
      <c r="FH345" s="64"/>
      <c r="FI345" s="64"/>
      <c r="FJ345" s="64"/>
      <c r="FK345" s="64"/>
      <c r="FL345" s="64"/>
      <c r="FM345" s="64"/>
      <c r="FN345" s="64"/>
      <c r="FO345" s="64"/>
      <c r="FP345" s="64"/>
      <c r="FQ345" s="64"/>
      <c r="FR345" s="64"/>
      <c r="FS345" s="64"/>
      <c r="FT345" s="64"/>
      <c r="FU345" s="64"/>
      <c r="FV345" s="64"/>
      <c r="FW345" s="64"/>
      <c r="FX345" s="64"/>
      <c r="FY345" s="64"/>
      <c r="FZ345" s="64"/>
      <c r="GA345" s="64"/>
      <c r="GB345" s="64"/>
      <c r="GC345" s="64"/>
      <c r="GD345" s="64"/>
      <c r="GE345" s="64"/>
      <c r="GF345" s="64"/>
      <c r="GG345" s="64"/>
      <c r="GH345" s="64"/>
      <c r="GI345" s="64"/>
      <c r="GJ345" s="64"/>
      <c r="GK345" s="64"/>
      <c r="GL345" s="64"/>
      <c r="GM345" s="64"/>
      <c r="GN345" s="64"/>
      <c r="GO345" s="64"/>
      <c r="GP345" s="64"/>
      <c r="GQ345" s="64"/>
      <c r="GR345" s="64"/>
      <c r="GS345" s="64"/>
      <c r="GT345" s="64"/>
      <c r="GU345" s="64"/>
      <c r="GV345" s="64"/>
      <c r="GW345" s="64"/>
      <c r="GX345" s="64"/>
      <c r="GY345" s="64"/>
      <c r="GZ345" s="64"/>
      <c r="HA345" s="64"/>
      <c r="HB345" s="64"/>
      <c r="HC345" s="64"/>
      <c r="HD345" s="64"/>
      <c r="HE345" s="64"/>
      <c r="HF345" s="64"/>
      <c r="HG345" s="64"/>
      <c r="HH345" s="64"/>
      <c r="HI345" s="64"/>
      <c r="HJ345" s="64"/>
      <c r="HK345" s="64"/>
      <c r="HL345" s="64"/>
      <c r="HM345" s="64"/>
      <c r="HN345" s="64"/>
      <c r="HO345" s="64"/>
      <c r="HP345" s="64"/>
      <c r="HQ345" s="64"/>
      <c r="HR345" s="64"/>
      <c r="HS345" s="64"/>
      <c r="HT345" s="64"/>
      <c r="HU345" s="64"/>
      <c r="HV345" s="64"/>
      <c r="HW345" s="64"/>
      <c r="HX345" s="64"/>
      <c r="HY345" s="64"/>
      <c r="HZ345" s="64"/>
      <c r="IA345" s="64"/>
      <c r="IB345" s="64"/>
      <c r="IC345" s="64"/>
      <c r="ID345" s="64"/>
      <c r="IE345" s="64"/>
      <c r="IF345" s="64"/>
      <c r="IG345" s="64"/>
      <c r="IH345" s="64"/>
      <c r="II345" s="64"/>
      <c r="IJ345" s="64"/>
      <c r="IK345" s="64"/>
      <c r="IL345" s="64"/>
      <c r="IM345" s="64"/>
      <c r="IN345" s="64"/>
      <c r="IO345" s="64"/>
      <c r="IP345" s="64"/>
      <c r="IQ345" s="64"/>
      <c r="IR345" s="64"/>
      <c r="IS345" s="64"/>
      <c r="IT345" s="64"/>
      <c r="IU345" s="64"/>
      <c r="IV345" s="64"/>
      <c r="IW345" s="64"/>
      <c r="IX345" s="64"/>
      <c r="IY345" s="64"/>
      <c r="IZ345" s="64"/>
      <c r="JA345" s="64"/>
      <c r="JB345" s="64"/>
      <c r="JC345" s="64"/>
      <c r="JD345" s="64"/>
      <c r="JE345" s="64"/>
      <c r="JF345" s="64"/>
      <c r="JG345" s="64"/>
      <c r="JH345" s="64"/>
      <c r="JI345" s="64"/>
    </row>
    <row r="346" spans="1:269" s="920" customFormat="1" x14ac:dyDescent="0.2">
      <c r="A346" s="116"/>
      <c r="B346" s="64"/>
      <c r="C346" s="64"/>
      <c r="D346" s="64"/>
      <c r="E346" s="64"/>
      <c r="F346" s="64"/>
      <c r="G346" s="64"/>
      <c r="H346" s="64"/>
      <c r="I346" s="64"/>
      <c r="J346" s="116"/>
      <c r="K346" s="116"/>
      <c r="L346" s="116"/>
      <c r="M346" s="116"/>
      <c r="N346" s="116"/>
      <c r="O346" s="116"/>
      <c r="P346" s="116"/>
      <c r="Q346" s="102"/>
      <c r="R346" s="102"/>
      <c r="S346" s="102"/>
      <c r="T346" s="102"/>
      <c r="U346" s="913"/>
      <c r="V346" s="114"/>
      <c r="W346" s="805"/>
      <c r="X346" s="805"/>
      <c r="Y346" s="805"/>
      <c r="Z346" s="914"/>
      <c r="AA346" s="102"/>
      <c r="AB346" s="102"/>
      <c r="AC346" s="102"/>
      <c r="AD346" s="102"/>
      <c r="AE346" s="102"/>
      <c r="AF346" s="102"/>
      <c r="AG346" s="102"/>
      <c r="AH346" s="102"/>
      <c r="AI346" s="102"/>
      <c r="AJ346" s="906"/>
      <c r="AK346" s="102"/>
      <c r="AL346" s="915"/>
      <c r="AM346" s="915"/>
      <c r="AN346" s="114"/>
      <c r="AO346" s="64"/>
      <c r="AP346" s="64"/>
      <c r="AQ346" s="64"/>
      <c r="AR346" s="916"/>
      <c r="AS346" s="916"/>
      <c r="AT346" s="916"/>
      <c r="AU346" s="917"/>
      <c r="AV346" s="917"/>
      <c r="AW346" s="917"/>
      <c r="AX346" s="918"/>
      <c r="AY346" s="916"/>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917"/>
      <c r="CA346" s="917"/>
      <c r="CB346" s="64"/>
      <c r="CC346" s="919"/>
      <c r="CD346" s="919"/>
      <c r="CE346" s="64"/>
      <c r="CF346" s="528"/>
      <c r="CG346" s="529"/>
      <c r="CH346" s="64"/>
      <c r="CI346" s="64"/>
      <c r="CJ346" s="64"/>
      <c r="CK346" s="64"/>
      <c r="CL346" s="64"/>
      <c r="CM346" s="64"/>
      <c r="CN346" s="64"/>
      <c r="CO346" s="64"/>
      <c r="CP346" s="64"/>
      <c r="CQ346" s="64"/>
      <c r="CR346" s="64"/>
      <c r="CS346" s="64"/>
      <c r="CT346" s="64"/>
      <c r="CU346" s="64"/>
      <c r="CV346" s="64"/>
      <c r="CW346" s="64"/>
      <c r="CX346" s="64"/>
      <c r="CY346" s="1011"/>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c r="FC346" s="64"/>
      <c r="FD346" s="64"/>
      <c r="FE346" s="64"/>
      <c r="FF346" s="64"/>
      <c r="FG346" s="64"/>
      <c r="FH346" s="64"/>
      <c r="FI346" s="64"/>
      <c r="FJ346" s="64"/>
      <c r="FK346" s="64"/>
      <c r="FL346" s="64"/>
      <c r="FM346" s="64"/>
      <c r="FN346" s="64"/>
      <c r="FO346" s="64"/>
      <c r="FP346" s="64"/>
      <c r="FQ346" s="64"/>
      <c r="FR346" s="64"/>
      <c r="FS346" s="64"/>
      <c r="FT346" s="64"/>
      <c r="FU346" s="64"/>
      <c r="FV346" s="64"/>
      <c r="FW346" s="64"/>
      <c r="FX346" s="64"/>
      <c r="FY346" s="64"/>
      <c r="FZ346" s="64"/>
      <c r="GA346" s="64"/>
      <c r="GB346" s="64"/>
      <c r="GC346" s="64"/>
      <c r="GD346" s="64"/>
      <c r="GE346" s="64"/>
      <c r="GF346" s="64"/>
      <c r="GG346" s="64"/>
      <c r="GH346" s="64"/>
      <c r="GI346" s="64"/>
      <c r="GJ346" s="64"/>
      <c r="GK346" s="64"/>
      <c r="GL346" s="64"/>
      <c r="GM346" s="64"/>
      <c r="GN346" s="64"/>
      <c r="GO346" s="64"/>
      <c r="GP346" s="64"/>
      <c r="GQ346" s="64"/>
      <c r="GR346" s="64"/>
      <c r="GS346" s="64"/>
      <c r="GT346" s="64"/>
      <c r="GU346" s="64"/>
      <c r="GV346" s="64"/>
      <c r="GW346" s="64"/>
      <c r="GX346" s="64"/>
      <c r="GY346" s="64"/>
      <c r="GZ346" s="64"/>
      <c r="HA346" s="64"/>
      <c r="HB346" s="64"/>
      <c r="HC346" s="64"/>
      <c r="HD346" s="64"/>
      <c r="HE346" s="64"/>
      <c r="HF346" s="64"/>
      <c r="HG346" s="64"/>
      <c r="HH346" s="64"/>
      <c r="HI346" s="64"/>
      <c r="HJ346" s="64"/>
      <c r="HK346" s="64"/>
      <c r="HL346" s="64"/>
      <c r="HM346" s="64"/>
      <c r="HN346" s="64"/>
      <c r="HO346" s="64"/>
      <c r="HP346" s="64"/>
      <c r="HQ346" s="64"/>
      <c r="HR346" s="64"/>
      <c r="HS346" s="64"/>
      <c r="HT346" s="64"/>
      <c r="HU346" s="64"/>
      <c r="HV346" s="64"/>
      <c r="HW346" s="64"/>
      <c r="HX346" s="64"/>
      <c r="HY346" s="64"/>
      <c r="HZ346" s="64"/>
      <c r="IA346" s="64"/>
      <c r="IB346" s="64"/>
      <c r="IC346" s="64"/>
      <c r="ID346" s="64"/>
      <c r="IE346" s="64"/>
      <c r="IF346" s="64"/>
      <c r="IG346" s="64"/>
      <c r="IH346" s="64"/>
      <c r="II346" s="64"/>
      <c r="IJ346" s="64"/>
      <c r="IK346" s="64"/>
      <c r="IL346" s="64"/>
      <c r="IM346" s="64"/>
      <c r="IN346" s="64"/>
      <c r="IO346" s="64"/>
      <c r="IP346" s="64"/>
      <c r="IQ346" s="64"/>
      <c r="IR346" s="64"/>
      <c r="IS346" s="64"/>
      <c r="IT346" s="64"/>
      <c r="IU346" s="64"/>
      <c r="IV346" s="64"/>
      <c r="IW346" s="64"/>
      <c r="IX346" s="64"/>
      <c r="IY346" s="64"/>
      <c r="IZ346" s="64"/>
      <c r="JA346" s="64"/>
      <c r="JB346" s="64"/>
      <c r="JC346" s="64"/>
      <c r="JD346" s="64"/>
      <c r="JE346" s="64"/>
      <c r="JF346" s="64"/>
      <c r="JG346" s="64"/>
      <c r="JH346" s="64"/>
      <c r="JI346" s="64"/>
    </row>
    <row r="347" spans="1:269" s="920" customFormat="1" x14ac:dyDescent="0.2">
      <c r="A347" s="116"/>
      <c r="B347" s="64"/>
      <c r="C347" s="64"/>
      <c r="D347" s="64"/>
      <c r="E347" s="64"/>
      <c r="F347" s="64"/>
      <c r="G347" s="64"/>
      <c r="H347" s="64"/>
      <c r="I347" s="64"/>
      <c r="J347" s="116"/>
      <c r="K347" s="116"/>
      <c r="L347" s="116"/>
      <c r="M347" s="116"/>
      <c r="N347" s="116"/>
      <c r="O347" s="116"/>
      <c r="P347" s="116"/>
      <c r="Q347" s="102"/>
      <c r="R347" s="102"/>
      <c r="S347" s="102"/>
      <c r="T347" s="102"/>
      <c r="U347" s="913"/>
      <c r="V347" s="114"/>
      <c r="W347" s="805"/>
      <c r="X347" s="805"/>
      <c r="Y347" s="805"/>
      <c r="Z347" s="914"/>
      <c r="AA347" s="102"/>
      <c r="AB347" s="102"/>
      <c r="AC347" s="102"/>
      <c r="AD347" s="102"/>
      <c r="AE347" s="102"/>
      <c r="AF347" s="102"/>
      <c r="AG347" s="102"/>
      <c r="AH347" s="102"/>
      <c r="AI347" s="102"/>
      <c r="AJ347" s="906"/>
      <c r="AK347" s="102"/>
      <c r="AL347" s="915"/>
      <c r="AM347" s="915"/>
      <c r="AN347" s="114"/>
      <c r="AO347" s="64"/>
      <c r="AP347" s="64"/>
      <c r="AQ347" s="64"/>
      <c r="AR347" s="916"/>
      <c r="AS347" s="916"/>
      <c r="AT347" s="916"/>
      <c r="AU347" s="917"/>
      <c r="AV347" s="917"/>
      <c r="AW347" s="917"/>
      <c r="AX347" s="918"/>
      <c r="AY347" s="916"/>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917"/>
      <c r="CA347" s="917"/>
      <c r="CB347" s="64"/>
      <c r="CC347" s="919"/>
      <c r="CD347" s="919"/>
      <c r="CE347" s="64"/>
      <c r="CF347" s="528"/>
      <c r="CG347" s="529"/>
      <c r="CH347" s="64"/>
      <c r="CI347" s="64"/>
      <c r="CJ347" s="64"/>
      <c r="CK347" s="64"/>
      <c r="CL347" s="64"/>
      <c r="CM347" s="64"/>
      <c r="CN347" s="64"/>
      <c r="CO347" s="64"/>
      <c r="CP347" s="64"/>
      <c r="CQ347" s="64"/>
      <c r="CR347" s="64"/>
      <c r="CS347" s="64"/>
      <c r="CT347" s="64"/>
      <c r="CU347" s="64"/>
      <c r="CV347" s="64"/>
      <c r="CW347" s="64"/>
      <c r="CX347" s="64"/>
      <c r="CY347" s="1011"/>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c r="FC347" s="64"/>
      <c r="FD347" s="64"/>
      <c r="FE347" s="64"/>
      <c r="FF347" s="64"/>
      <c r="FG347" s="64"/>
      <c r="FH347" s="64"/>
      <c r="FI347" s="64"/>
      <c r="FJ347" s="64"/>
      <c r="FK347" s="64"/>
      <c r="FL347" s="64"/>
      <c r="FM347" s="64"/>
      <c r="FN347" s="64"/>
      <c r="FO347" s="64"/>
      <c r="FP347" s="64"/>
      <c r="FQ347" s="64"/>
      <c r="FR347" s="64"/>
      <c r="FS347" s="64"/>
      <c r="FT347" s="64"/>
      <c r="FU347" s="64"/>
      <c r="FV347" s="64"/>
      <c r="FW347" s="64"/>
      <c r="FX347" s="64"/>
      <c r="FY347" s="64"/>
      <c r="FZ347" s="64"/>
      <c r="GA347" s="64"/>
      <c r="GB347" s="64"/>
      <c r="GC347" s="64"/>
      <c r="GD347" s="64"/>
      <c r="GE347" s="64"/>
      <c r="GF347" s="64"/>
      <c r="GG347" s="64"/>
      <c r="GH347" s="64"/>
      <c r="GI347" s="64"/>
      <c r="GJ347" s="64"/>
      <c r="GK347" s="64"/>
      <c r="GL347" s="64"/>
      <c r="GM347" s="64"/>
      <c r="GN347" s="64"/>
      <c r="GO347" s="64"/>
      <c r="GP347" s="64"/>
      <c r="GQ347" s="64"/>
      <c r="GR347" s="64"/>
      <c r="GS347" s="64"/>
      <c r="GT347" s="64"/>
      <c r="GU347" s="64"/>
      <c r="GV347" s="64"/>
      <c r="GW347" s="64"/>
      <c r="GX347" s="64"/>
      <c r="GY347" s="64"/>
      <c r="GZ347" s="64"/>
      <c r="HA347" s="64"/>
      <c r="HB347" s="64"/>
      <c r="HC347" s="64"/>
      <c r="HD347" s="64"/>
      <c r="HE347" s="64"/>
      <c r="HF347" s="64"/>
      <c r="HG347" s="64"/>
      <c r="HH347" s="64"/>
      <c r="HI347" s="64"/>
      <c r="HJ347" s="64"/>
      <c r="HK347" s="64"/>
      <c r="HL347" s="64"/>
      <c r="HM347" s="64"/>
      <c r="HN347" s="64"/>
      <c r="HO347" s="64"/>
      <c r="HP347" s="64"/>
      <c r="HQ347" s="64"/>
      <c r="HR347" s="64"/>
      <c r="HS347" s="64"/>
      <c r="HT347" s="64"/>
      <c r="HU347" s="64"/>
      <c r="HV347" s="64"/>
      <c r="HW347" s="64"/>
      <c r="HX347" s="64"/>
      <c r="HY347" s="64"/>
      <c r="HZ347" s="64"/>
      <c r="IA347" s="64"/>
      <c r="IB347" s="64"/>
      <c r="IC347" s="64"/>
      <c r="ID347" s="64"/>
      <c r="IE347" s="64"/>
      <c r="IF347" s="64"/>
      <c r="IG347" s="64"/>
      <c r="IH347" s="64"/>
      <c r="II347" s="64"/>
      <c r="IJ347" s="64"/>
      <c r="IK347" s="64"/>
      <c r="IL347" s="64"/>
      <c r="IM347" s="64"/>
      <c r="IN347" s="64"/>
      <c r="IO347" s="64"/>
      <c r="IP347" s="64"/>
      <c r="IQ347" s="64"/>
      <c r="IR347" s="64"/>
      <c r="IS347" s="64"/>
      <c r="IT347" s="64"/>
      <c r="IU347" s="64"/>
      <c r="IV347" s="64"/>
      <c r="IW347" s="64"/>
      <c r="IX347" s="64"/>
      <c r="IY347" s="64"/>
      <c r="IZ347" s="64"/>
      <c r="JA347" s="64"/>
      <c r="JB347" s="64"/>
      <c r="JC347" s="64"/>
      <c r="JD347" s="64"/>
      <c r="JE347" s="64"/>
      <c r="JF347" s="64"/>
      <c r="JG347" s="64"/>
      <c r="JH347" s="64"/>
      <c r="JI347" s="64"/>
    </row>
    <row r="348" spans="1:269" s="920" customFormat="1" x14ac:dyDescent="0.2">
      <c r="A348" s="116"/>
      <c r="B348" s="64"/>
      <c r="C348" s="64"/>
      <c r="D348" s="64"/>
      <c r="E348" s="64"/>
      <c r="F348" s="64"/>
      <c r="G348" s="64"/>
      <c r="H348" s="64"/>
      <c r="I348" s="64"/>
      <c r="J348" s="116"/>
      <c r="K348" s="116"/>
      <c r="L348" s="116"/>
      <c r="M348" s="116"/>
      <c r="N348" s="116"/>
      <c r="O348" s="116"/>
      <c r="P348" s="116"/>
      <c r="Q348" s="102"/>
      <c r="R348" s="102"/>
      <c r="S348" s="102"/>
      <c r="T348" s="102"/>
      <c r="U348" s="913"/>
      <c r="V348" s="114"/>
      <c r="W348" s="805"/>
      <c r="X348" s="805"/>
      <c r="Y348" s="805"/>
      <c r="Z348" s="914"/>
      <c r="AA348" s="102"/>
      <c r="AB348" s="102"/>
      <c r="AC348" s="102"/>
      <c r="AD348" s="102"/>
      <c r="AE348" s="102"/>
      <c r="AF348" s="102"/>
      <c r="AG348" s="102"/>
      <c r="AH348" s="102"/>
      <c r="AI348" s="102"/>
      <c r="AJ348" s="906"/>
      <c r="AK348" s="102"/>
      <c r="AL348" s="915"/>
      <c r="AM348" s="915"/>
      <c r="AN348" s="114"/>
      <c r="AO348" s="64"/>
      <c r="AP348" s="64"/>
      <c r="AQ348" s="64"/>
      <c r="AR348" s="916"/>
      <c r="AS348" s="916"/>
      <c r="AT348" s="916"/>
      <c r="AU348" s="917"/>
      <c r="AV348" s="917"/>
      <c r="AW348" s="917"/>
      <c r="AX348" s="918"/>
      <c r="AY348" s="916"/>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917"/>
      <c r="CA348" s="917"/>
      <c r="CB348" s="64"/>
      <c r="CC348" s="919"/>
      <c r="CD348" s="919"/>
      <c r="CE348" s="64"/>
      <c r="CF348" s="528"/>
      <c r="CG348" s="529"/>
      <c r="CH348" s="64"/>
      <c r="CI348" s="64"/>
      <c r="CJ348" s="64"/>
      <c r="CK348" s="64"/>
      <c r="CL348" s="64"/>
      <c r="CM348" s="64"/>
      <c r="CN348" s="64"/>
      <c r="CO348" s="64"/>
      <c r="CP348" s="64"/>
      <c r="CQ348" s="64"/>
      <c r="CR348" s="64"/>
      <c r="CS348" s="64"/>
      <c r="CT348" s="64"/>
      <c r="CU348" s="64"/>
      <c r="CV348" s="64"/>
      <c r="CW348" s="64"/>
      <c r="CX348" s="64"/>
      <c r="CY348" s="1011"/>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c r="FC348" s="64"/>
      <c r="FD348" s="64"/>
      <c r="FE348" s="64"/>
      <c r="FF348" s="64"/>
      <c r="FG348" s="64"/>
      <c r="FH348" s="64"/>
      <c r="FI348" s="64"/>
      <c r="FJ348" s="64"/>
      <c r="FK348" s="64"/>
      <c r="FL348" s="64"/>
      <c r="FM348" s="64"/>
      <c r="FN348" s="64"/>
      <c r="FO348" s="64"/>
      <c r="FP348" s="64"/>
      <c r="FQ348" s="64"/>
      <c r="FR348" s="64"/>
      <c r="FS348" s="64"/>
      <c r="FT348" s="64"/>
      <c r="FU348" s="64"/>
      <c r="FV348" s="64"/>
      <c r="FW348" s="64"/>
      <c r="FX348" s="64"/>
      <c r="FY348" s="64"/>
      <c r="FZ348" s="64"/>
      <c r="GA348" s="64"/>
      <c r="GB348" s="64"/>
      <c r="GC348" s="64"/>
      <c r="GD348" s="64"/>
      <c r="GE348" s="64"/>
      <c r="GF348" s="64"/>
      <c r="GG348" s="64"/>
      <c r="GH348" s="64"/>
      <c r="GI348" s="64"/>
      <c r="GJ348" s="64"/>
      <c r="GK348" s="64"/>
      <c r="GL348" s="64"/>
      <c r="GM348" s="64"/>
      <c r="GN348" s="64"/>
      <c r="GO348" s="64"/>
      <c r="GP348" s="64"/>
      <c r="GQ348" s="64"/>
      <c r="GR348" s="64"/>
      <c r="GS348" s="64"/>
      <c r="GT348" s="64"/>
      <c r="GU348" s="64"/>
      <c r="GV348" s="64"/>
      <c r="GW348" s="64"/>
      <c r="GX348" s="64"/>
      <c r="GY348" s="64"/>
      <c r="GZ348" s="64"/>
      <c r="HA348" s="64"/>
      <c r="HB348" s="64"/>
      <c r="HC348" s="64"/>
      <c r="HD348" s="64"/>
      <c r="HE348" s="64"/>
      <c r="HF348" s="64"/>
      <c r="HG348" s="64"/>
      <c r="HH348" s="64"/>
      <c r="HI348" s="64"/>
      <c r="HJ348" s="64"/>
      <c r="HK348" s="64"/>
      <c r="HL348" s="64"/>
      <c r="HM348" s="64"/>
      <c r="HN348" s="64"/>
      <c r="HO348" s="64"/>
      <c r="HP348" s="64"/>
      <c r="HQ348" s="64"/>
      <c r="HR348" s="64"/>
      <c r="HS348" s="64"/>
      <c r="HT348" s="64"/>
      <c r="HU348" s="64"/>
      <c r="HV348" s="64"/>
      <c r="HW348" s="64"/>
      <c r="HX348" s="64"/>
      <c r="HY348" s="64"/>
      <c r="HZ348" s="64"/>
      <c r="IA348" s="64"/>
      <c r="IB348" s="64"/>
      <c r="IC348" s="64"/>
      <c r="ID348" s="64"/>
      <c r="IE348" s="64"/>
      <c r="IF348" s="64"/>
      <c r="IG348" s="64"/>
      <c r="IH348" s="64"/>
      <c r="II348" s="64"/>
      <c r="IJ348" s="64"/>
      <c r="IK348" s="64"/>
      <c r="IL348" s="64"/>
      <c r="IM348" s="64"/>
      <c r="IN348" s="64"/>
      <c r="IO348" s="64"/>
      <c r="IP348" s="64"/>
      <c r="IQ348" s="64"/>
      <c r="IR348" s="64"/>
      <c r="IS348" s="64"/>
      <c r="IT348" s="64"/>
      <c r="IU348" s="64"/>
      <c r="IV348" s="64"/>
      <c r="IW348" s="64"/>
      <c r="IX348" s="64"/>
      <c r="IY348" s="64"/>
      <c r="IZ348" s="64"/>
      <c r="JA348" s="64"/>
      <c r="JB348" s="64"/>
      <c r="JC348" s="64"/>
      <c r="JD348" s="64"/>
      <c r="JE348" s="64"/>
      <c r="JF348" s="64"/>
      <c r="JG348" s="64"/>
      <c r="JH348" s="64"/>
      <c r="JI348" s="64"/>
    </row>
    <row r="349" spans="1:269" s="920" customFormat="1" x14ac:dyDescent="0.2">
      <c r="A349" s="116"/>
      <c r="B349" s="64"/>
      <c r="C349" s="64"/>
      <c r="D349" s="64"/>
      <c r="E349" s="64"/>
      <c r="F349" s="64"/>
      <c r="G349" s="64"/>
      <c r="H349" s="64"/>
      <c r="I349" s="64"/>
      <c r="J349" s="116"/>
      <c r="K349" s="116"/>
      <c r="L349" s="116"/>
      <c r="M349" s="116"/>
      <c r="N349" s="116"/>
      <c r="O349" s="116"/>
      <c r="P349" s="116"/>
      <c r="Q349" s="102"/>
      <c r="R349" s="102"/>
      <c r="S349" s="102"/>
      <c r="T349" s="102"/>
      <c r="U349" s="913"/>
      <c r="V349" s="114"/>
      <c r="W349" s="805"/>
      <c r="X349" s="805"/>
      <c r="Y349" s="805"/>
      <c r="Z349" s="914"/>
      <c r="AA349" s="102"/>
      <c r="AB349" s="102"/>
      <c r="AC349" s="102"/>
      <c r="AD349" s="102"/>
      <c r="AE349" s="102"/>
      <c r="AF349" s="102"/>
      <c r="AG349" s="102"/>
      <c r="AH349" s="102"/>
      <c r="AI349" s="102"/>
      <c r="AJ349" s="906"/>
      <c r="AK349" s="102"/>
      <c r="AL349" s="915"/>
      <c r="AM349" s="915"/>
      <c r="AN349" s="114"/>
      <c r="AO349" s="64"/>
      <c r="AP349" s="64"/>
      <c r="AQ349" s="64"/>
      <c r="AR349" s="916"/>
      <c r="AS349" s="916"/>
      <c r="AT349" s="916"/>
      <c r="AU349" s="917"/>
      <c r="AV349" s="917"/>
      <c r="AW349" s="917"/>
      <c r="AX349" s="918"/>
      <c r="AY349" s="916"/>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917"/>
      <c r="CA349" s="917"/>
      <c r="CB349" s="64"/>
      <c r="CC349" s="919"/>
      <c r="CD349" s="919"/>
      <c r="CE349" s="64"/>
      <c r="CF349" s="528"/>
      <c r="CG349" s="529"/>
      <c r="CH349" s="64"/>
      <c r="CI349" s="64"/>
      <c r="CJ349" s="64"/>
      <c r="CK349" s="64"/>
      <c r="CL349" s="64"/>
      <c r="CM349" s="64"/>
      <c r="CN349" s="64"/>
      <c r="CO349" s="64"/>
      <c r="CP349" s="64"/>
      <c r="CQ349" s="64"/>
      <c r="CR349" s="64"/>
      <c r="CS349" s="64"/>
      <c r="CT349" s="64"/>
      <c r="CU349" s="64"/>
      <c r="CV349" s="64"/>
      <c r="CW349" s="64"/>
      <c r="CX349" s="64"/>
      <c r="CY349" s="1011"/>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c r="FC349" s="64"/>
      <c r="FD349" s="64"/>
      <c r="FE349" s="64"/>
      <c r="FF349" s="64"/>
      <c r="FG349" s="64"/>
      <c r="FH349" s="64"/>
      <c r="FI349" s="64"/>
      <c r="FJ349" s="64"/>
      <c r="FK349" s="64"/>
      <c r="FL349" s="64"/>
      <c r="FM349" s="64"/>
      <c r="FN349" s="64"/>
      <c r="FO349" s="64"/>
      <c r="FP349" s="64"/>
      <c r="FQ349" s="64"/>
      <c r="FR349" s="64"/>
      <c r="FS349" s="64"/>
      <c r="FT349" s="64"/>
      <c r="FU349" s="64"/>
      <c r="FV349" s="64"/>
      <c r="FW349" s="64"/>
      <c r="FX349" s="64"/>
      <c r="FY349" s="64"/>
      <c r="FZ349" s="64"/>
      <c r="GA349" s="64"/>
      <c r="GB349" s="64"/>
      <c r="GC349" s="64"/>
      <c r="GD349" s="64"/>
      <c r="GE349" s="64"/>
      <c r="GF349" s="64"/>
      <c r="GG349" s="64"/>
      <c r="GH349" s="64"/>
      <c r="GI349" s="64"/>
      <c r="GJ349" s="64"/>
      <c r="GK349" s="64"/>
      <c r="GL349" s="64"/>
      <c r="GM349" s="64"/>
      <c r="GN349" s="64"/>
      <c r="GO349" s="64"/>
      <c r="GP349" s="64"/>
      <c r="GQ349" s="64"/>
      <c r="GR349" s="64"/>
      <c r="GS349" s="64"/>
      <c r="GT349" s="64"/>
      <c r="GU349" s="64"/>
      <c r="GV349" s="64"/>
      <c r="GW349" s="64"/>
      <c r="GX349" s="64"/>
      <c r="GY349" s="64"/>
      <c r="GZ349" s="64"/>
      <c r="HA349" s="64"/>
      <c r="HB349" s="64"/>
      <c r="HC349" s="64"/>
      <c r="HD349" s="64"/>
      <c r="HE349" s="64"/>
      <c r="HF349" s="64"/>
      <c r="HG349" s="64"/>
      <c r="HH349" s="64"/>
      <c r="HI349" s="64"/>
      <c r="HJ349" s="64"/>
      <c r="HK349" s="64"/>
      <c r="HL349" s="64"/>
      <c r="HM349" s="64"/>
      <c r="HN349" s="64"/>
      <c r="HO349" s="64"/>
      <c r="HP349" s="64"/>
      <c r="HQ349" s="64"/>
      <c r="HR349" s="64"/>
      <c r="HS349" s="64"/>
      <c r="HT349" s="64"/>
      <c r="HU349" s="64"/>
      <c r="HV349" s="64"/>
      <c r="HW349" s="64"/>
      <c r="HX349" s="64"/>
      <c r="HY349" s="64"/>
      <c r="HZ349" s="64"/>
      <c r="IA349" s="64"/>
      <c r="IB349" s="64"/>
      <c r="IC349" s="64"/>
      <c r="ID349" s="64"/>
      <c r="IE349" s="64"/>
      <c r="IF349" s="64"/>
      <c r="IG349" s="64"/>
      <c r="IH349" s="64"/>
      <c r="II349" s="64"/>
      <c r="IJ349" s="64"/>
      <c r="IK349" s="64"/>
      <c r="IL349" s="64"/>
      <c r="IM349" s="64"/>
      <c r="IN349" s="64"/>
      <c r="IO349" s="64"/>
      <c r="IP349" s="64"/>
      <c r="IQ349" s="64"/>
      <c r="IR349" s="64"/>
      <c r="IS349" s="64"/>
      <c r="IT349" s="64"/>
      <c r="IU349" s="64"/>
      <c r="IV349" s="64"/>
      <c r="IW349" s="64"/>
      <c r="IX349" s="64"/>
      <c r="IY349" s="64"/>
      <c r="IZ349" s="64"/>
      <c r="JA349" s="64"/>
      <c r="JB349" s="64"/>
      <c r="JC349" s="64"/>
      <c r="JD349" s="64"/>
      <c r="JE349" s="64"/>
      <c r="JF349" s="64"/>
      <c r="JG349" s="64"/>
      <c r="JH349" s="64"/>
      <c r="JI349" s="64"/>
    </row>
    <row r="350" spans="1:269" s="920" customFormat="1" x14ac:dyDescent="0.2">
      <c r="A350" s="116"/>
      <c r="B350" s="64"/>
      <c r="C350" s="64"/>
      <c r="D350" s="64"/>
      <c r="E350" s="64"/>
      <c r="F350" s="64"/>
      <c r="G350" s="64"/>
      <c r="H350" s="64"/>
      <c r="I350" s="64"/>
      <c r="J350" s="116"/>
      <c r="K350" s="116"/>
      <c r="L350" s="116"/>
      <c r="M350" s="116"/>
      <c r="N350" s="116"/>
      <c r="O350" s="116"/>
      <c r="P350" s="116"/>
      <c r="Q350" s="102"/>
      <c r="R350" s="102"/>
      <c r="S350" s="102"/>
      <c r="T350" s="102"/>
      <c r="U350" s="913"/>
      <c r="V350" s="114"/>
      <c r="W350" s="805"/>
      <c r="X350" s="805"/>
      <c r="Y350" s="805"/>
      <c r="Z350" s="914"/>
      <c r="AA350" s="102"/>
      <c r="AB350" s="102"/>
      <c r="AC350" s="102"/>
      <c r="AD350" s="102"/>
      <c r="AE350" s="102"/>
      <c r="AF350" s="102"/>
      <c r="AG350" s="102"/>
      <c r="AH350" s="102"/>
      <c r="AI350" s="102"/>
      <c r="AJ350" s="906"/>
      <c r="AK350" s="102"/>
      <c r="AL350" s="915"/>
      <c r="AM350" s="915"/>
      <c r="AN350" s="114"/>
      <c r="AO350" s="64"/>
      <c r="AP350" s="64"/>
      <c r="AQ350" s="64"/>
      <c r="AR350" s="916"/>
      <c r="AS350" s="916"/>
      <c r="AT350" s="916"/>
      <c r="AU350" s="917"/>
      <c r="AV350" s="917"/>
      <c r="AW350" s="917"/>
      <c r="AX350" s="918"/>
      <c r="AY350" s="916"/>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917"/>
      <c r="CA350" s="917"/>
      <c r="CB350" s="64"/>
      <c r="CC350" s="919"/>
      <c r="CD350" s="919"/>
      <c r="CE350" s="64"/>
      <c r="CF350" s="528"/>
      <c r="CG350" s="529"/>
      <c r="CH350" s="64"/>
      <c r="CI350" s="64"/>
      <c r="CJ350" s="64"/>
      <c r="CK350" s="64"/>
      <c r="CL350" s="64"/>
      <c r="CM350" s="64"/>
      <c r="CN350" s="64"/>
      <c r="CO350" s="64"/>
      <c r="CP350" s="64"/>
      <c r="CQ350" s="64"/>
      <c r="CR350" s="64"/>
      <c r="CS350" s="64"/>
      <c r="CT350" s="64"/>
      <c r="CU350" s="64"/>
      <c r="CV350" s="64"/>
      <c r="CW350" s="64"/>
      <c r="CX350" s="64"/>
      <c r="CY350" s="1011"/>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c r="FC350" s="64"/>
      <c r="FD350" s="64"/>
      <c r="FE350" s="64"/>
      <c r="FF350" s="64"/>
      <c r="FG350" s="64"/>
      <c r="FH350" s="64"/>
      <c r="FI350" s="64"/>
      <c r="FJ350" s="64"/>
      <c r="FK350" s="64"/>
      <c r="FL350" s="64"/>
      <c r="FM350" s="64"/>
      <c r="FN350" s="64"/>
      <c r="FO350" s="64"/>
      <c r="FP350" s="64"/>
      <c r="FQ350" s="64"/>
      <c r="FR350" s="64"/>
      <c r="FS350" s="64"/>
      <c r="FT350" s="64"/>
      <c r="FU350" s="64"/>
      <c r="FV350" s="64"/>
      <c r="FW350" s="64"/>
      <c r="FX350" s="64"/>
      <c r="FY350" s="64"/>
      <c r="FZ350" s="64"/>
      <c r="GA350" s="64"/>
      <c r="GB350" s="64"/>
      <c r="GC350" s="64"/>
      <c r="GD350" s="64"/>
      <c r="GE350" s="64"/>
      <c r="GF350" s="64"/>
      <c r="GG350" s="64"/>
      <c r="GH350" s="64"/>
      <c r="GI350" s="64"/>
      <c r="GJ350" s="64"/>
      <c r="GK350" s="64"/>
      <c r="GL350" s="64"/>
      <c r="GM350" s="64"/>
      <c r="GN350" s="64"/>
      <c r="GO350" s="64"/>
      <c r="GP350" s="64"/>
      <c r="GQ350" s="64"/>
      <c r="GR350" s="64"/>
      <c r="GS350" s="64"/>
      <c r="GT350" s="64"/>
      <c r="GU350" s="64"/>
      <c r="GV350" s="64"/>
      <c r="GW350" s="64"/>
      <c r="GX350" s="64"/>
      <c r="GY350" s="64"/>
      <c r="GZ350" s="64"/>
      <c r="HA350" s="64"/>
      <c r="HB350" s="64"/>
      <c r="HC350" s="64"/>
      <c r="HD350" s="64"/>
      <c r="HE350" s="64"/>
      <c r="HF350" s="64"/>
      <c r="HG350" s="64"/>
      <c r="HH350" s="64"/>
      <c r="HI350" s="64"/>
      <c r="HJ350" s="64"/>
      <c r="HK350" s="64"/>
      <c r="HL350" s="64"/>
      <c r="HM350" s="64"/>
      <c r="HN350" s="64"/>
      <c r="HO350" s="64"/>
      <c r="HP350" s="64"/>
      <c r="HQ350" s="64"/>
      <c r="HR350" s="64"/>
      <c r="HS350" s="64"/>
      <c r="HT350" s="64"/>
      <c r="HU350" s="64"/>
      <c r="HV350" s="64"/>
      <c r="HW350" s="64"/>
      <c r="HX350" s="64"/>
      <c r="HY350" s="64"/>
      <c r="HZ350" s="64"/>
      <c r="IA350" s="64"/>
      <c r="IB350" s="64"/>
      <c r="IC350" s="64"/>
      <c r="ID350" s="64"/>
      <c r="IE350" s="64"/>
      <c r="IF350" s="64"/>
      <c r="IG350" s="64"/>
      <c r="IH350" s="64"/>
      <c r="II350" s="64"/>
      <c r="IJ350" s="64"/>
      <c r="IK350" s="64"/>
      <c r="IL350" s="64"/>
      <c r="IM350" s="64"/>
      <c r="IN350" s="64"/>
      <c r="IO350" s="64"/>
      <c r="IP350" s="64"/>
      <c r="IQ350" s="64"/>
      <c r="IR350" s="64"/>
      <c r="IS350" s="64"/>
      <c r="IT350" s="64"/>
      <c r="IU350" s="64"/>
      <c r="IV350" s="64"/>
      <c r="IW350" s="64"/>
      <c r="IX350" s="64"/>
      <c r="IY350" s="64"/>
      <c r="IZ350" s="64"/>
      <c r="JA350" s="64"/>
      <c r="JB350" s="64"/>
      <c r="JC350" s="64"/>
      <c r="JD350" s="64"/>
      <c r="JE350" s="64"/>
      <c r="JF350" s="64"/>
      <c r="JG350" s="64"/>
      <c r="JH350" s="64"/>
      <c r="JI350" s="64"/>
    </row>
    <row r="351" spans="1:269" s="920" customFormat="1" x14ac:dyDescent="0.2">
      <c r="A351" s="116"/>
      <c r="B351" s="64"/>
      <c r="C351" s="64"/>
      <c r="D351" s="64"/>
      <c r="E351" s="64"/>
      <c r="F351" s="64"/>
      <c r="G351" s="64"/>
      <c r="H351" s="64"/>
      <c r="I351" s="64"/>
      <c r="J351" s="116"/>
      <c r="K351" s="116"/>
      <c r="L351" s="116"/>
      <c r="M351" s="116"/>
      <c r="N351" s="116"/>
      <c r="O351" s="116"/>
      <c r="P351" s="116"/>
      <c r="Q351" s="102"/>
      <c r="R351" s="102"/>
      <c r="S351" s="102"/>
      <c r="T351" s="102"/>
      <c r="U351" s="913"/>
      <c r="V351" s="114"/>
      <c r="W351" s="805"/>
      <c r="X351" s="805"/>
      <c r="Y351" s="805"/>
      <c r="Z351" s="914"/>
      <c r="AA351" s="102"/>
      <c r="AB351" s="102"/>
      <c r="AC351" s="102"/>
      <c r="AD351" s="102"/>
      <c r="AE351" s="102"/>
      <c r="AF351" s="102"/>
      <c r="AG351" s="102"/>
      <c r="AH351" s="102"/>
      <c r="AI351" s="102"/>
      <c r="AJ351" s="906"/>
      <c r="AK351" s="102"/>
      <c r="AL351" s="915"/>
      <c r="AM351" s="915"/>
      <c r="AN351" s="114"/>
      <c r="AO351" s="64"/>
      <c r="AP351" s="64"/>
      <c r="AQ351" s="64"/>
      <c r="AR351" s="916"/>
      <c r="AS351" s="916"/>
      <c r="AT351" s="916"/>
      <c r="AU351" s="917"/>
      <c r="AV351" s="917"/>
      <c r="AW351" s="917"/>
      <c r="AX351" s="918"/>
      <c r="AY351" s="916"/>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917"/>
      <c r="CA351" s="917"/>
      <c r="CB351" s="64"/>
      <c r="CC351" s="919"/>
      <c r="CD351" s="919"/>
      <c r="CE351" s="64"/>
      <c r="CF351" s="528"/>
      <c r="CG351" s="529"/>
      <c r="CH351" s="64"/>
      <c r="CI351" s="64"/>
      <c r="CJ351" s="64"/>
      <c r="CK351" s="64"/>
      <c r="CL351" s="64"/>
      <c r="CM351" s="64"/>
      <c r="CN351" s="64"/>
      <c r="CO351" s="64"/>
      <c r="CP351" s="64"/>
      <c r="CQ351" s="64"/>
      <c r="CR351" s="64"/>
      <c r="CS351" s="64"/>
      <c r="CT351" s="64"/>
      <c r="CU351" s="64"/>
      <c r="CV351" s="64"/>
      <c r="CW351" s="64"/>
      <c r="CX351" s="64"/>
      <c r="CY351" s="1011"/>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c r="FC351" s="64"/>
      <c r="FD351" s="64"/>
      <c r="FE351" s="64"/>
      <c r="FF351" s="64"/>
      <c r="FG351" s="64"/>
      <c r="FH351" s="64"/>
      <c r="FI351" s="64"/>
      <c r="FJ351" s="64"/>
      <c r="FK351" s="64"/>
      <c r="FL351" s="64"/>
      <c r="FM351" s="64"/>
      <c r="FN351" s="64"/>
      <c r="FO351" s="64"/>
      <c r="FP351" s="64"/>
      <c r="FQ351" s="64"/>
      <c r="FR351" s="64"/>
      <c r="FS351" s="64"/>
      <c r="FT351" s="64"/>
      <c r="FU351" s="64"/>
      <c r="FV351" s="64"/>
      <c r="FW351" s="64"/>
      <c r="FX351" s="64"/>
      <c r="FY351" s="64"/>
      <c r="FZ351" s="64"/>
      <c r="GA351" s="64"/>
      <c r="GB351" s="64"/>
      <c r="GC351" s="64"/>
      <c r="GD351" s="64"/>
      <c r="GE351" s="64"/>
      <c r="GF351" s="64"/>
      <c r="GG351" s="64"/>
      <c r="GH351" s="64"/>
      <c r="GI351" s="64"/>
      <c r="GJ351" s="64"/>
      <c r="GK351" s="64"/>
      <c r="GL351" s="64"/>
      <c r="GM351" s="64"/>
      <c r="GN351" s="64"/>
      <c r="GO351" s="64"/>
      <c r="GP351" s="64"/>
      <c r="GQ351" s="64"/>
      <c r="GR351" s="64"/>
      <c r="GS351" s="64"/>
      <c r="GT351" s="64"/>
      <c r="GU351" s="64"/>
      <c r="GV351" s="64"/>
      <c r="GW351" s="64"/>
      <c r="GX351" s="64"/>
      <c r="GY351" s="64"/>
      <c r="GZ351" s="64"/>
      <c r="HA351" s="64"/>
      <c r="HB351" s="64"/>
      <c r="HC351" s="64"/>
      <c r="HD351" s="64"/>
      <c r="HE351" s="64"/>
      <c r="HF351" s="64"/>
      <c r="HG351" s="64"/>
      <c r="HH351" s="64"/>
      <c r="HI351" s="64"/>
      <c r="HJ351" s="64"/>
      <c r="HK351" s="64"/>
      <c r="HL351" s="64"/>
      <c r="HM351" s="64"/>
      <c r="HN351" s="64"/>
      <c r="HO351" s="64"/>
      <c r="HP351" s="64"/>
      <c r="HQ351" s="64"/>
      <c r="HR351" s="64"/>
      <c r="HS351" s="64"/>
      <c r="HT351" s="64"/>
      <c r="HU351" s="64"/>
      <c r="HV351" s="64"/>
      <c r="HW351" s="64"/>
      <c r="HX351" s="64"/>
      <c r="HY351" s="64"/>
      <c r="HZ351" s="64"/>
      <c r="IA351" s="64"/>
      <c r="IB351" s="64"/>
      <c r="IC351" s="64"/>
      <c r="ID351" s="64"/>
      <c r="IE351" s="64"/>
      <c r="IF351" s="64"/>
      <c r="IG351" s="64"/>
      <c r="IH351" s="64"/>
      <c r="II351" s="64"/>
      <c r="IJ351" s="64"/>
      <c r="IK351" s="64"/>
      <c r="IL351" s="64"/>
      <c r="IM351" s="64"/>
      <c r="IN351" s="64"/>
      <c r="IO351" s="64"/>
      <c r="IP351" s="64"/>
      <c r="IQ351" s="64"/>
      <c r="IR351" s="64"/>
      <c r="IS351" s="64"/>
      <c r="IT351" s="64"/>
      <c r="IU351" s="64"/>
      <c r="IV351" s="64"/>
      <c r="IW351" s="64"/>
      <c r="IX351" s="64"/>
      <c r="IY351" s="64"/>
      <c r="IZ351" s="64"/>
      <c r="JA351" s="64"/>
      <c r="JB351" s="64"/>
      <c r="JC351" s="64"/>
      <c r="JD351" s="64"/>
      <c r="JE351" s="64"/>
      <c r="JF351" s="64"/>
      <c r="JG351" s="64"/>
      <c r="JH351" s="64"/>
      <c r="JI351" s="64"/>
    </row>
    <row r="352" spans="1:269" s="920" customFormat="1" x14ac:dyDescent="0.2">
      <c r="A352" s="116"/>
      <c r="B352" s="64"/>
      <c r="C352" s="64"/>
      <c r="D352" s="64"/>
      <c r="E352" s="64"/>
      <c r="F352" s="64"/>
      <c r="G352" s="64"/>
      <c r="H352" s="64"/>
      <c r="I352" s="64"/>
      <c r="J352" s="116"/>
      <c r="K352" s="116"/>
      <c r="L352" s="116"/>
      <c r="M352" s="116"/>
      <c r="N352" s="116"/>
      <c r="O352" s="116"/>
      <c r="P352" s="116"/>
      <c r="Q352" s="102"/>
      <c r="R352" s="102"/>
      <c r="S352" s="102"/>
      <c r="T352" s="102"/>
      <c r="U352" s="913"/>
      <c r="V352" s="114"/>
      <c r="W352" s="805"/>
      <c r="X352" s="805"/>
      <c r="Y352" s="805"/>
      <c r="Z352" s="914"/>
      <c r="AA352" s="102"/>
      <c r="AB352" s="102"/>
      <c r="AC352" s="102"/>
      <c r="AD352" s="102"/>
      <c r="AE352" s="102"/>
      <c r="AF352" s="102"/>
      <c r="AG352" s="102"/>
      <c r="AH352" s="102"/>
      <c r="AI352" s="102"/>
      <c r="AJ352" s="906"/>
      <c r="AK352" s="102"/>
      <c r="AL352" s="915"/>
      <c r="AM352" s="915"/>
      <c r="AN352" s="114"/>
      <c r="AO352" s="64"/>
      <c r="AP352" s="64"/>
      <c r="AQ352" s="64"/>
      <c r="AR352" s="916"/>
      <c r="AS352" s="916"/>
      <c r="AT352" s="916"/>
      <c r="AU352" s="917"/>
      <c r="AV352" s="917"/>
      <c r="AW352" s="917"/>
      <c r="AX352" s="918"/>
      <c r="AY352" s="916"/>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917"/>
      <c r="CA352" s="917"/>
      <c r="CB352" s="64"/>
      <c r="CC352" s="919"/>
      <c r="CD352" s="919"/>
      <c r="CE352" s="64"/>
      <c r="CF352" s="528"/>
      <c r="CG352" s="529"/>
      <c r="CH352" s="64"/>
      <c r="CI352" s="64"/>
      <c r="CJ352" s="64"/>
      <c r="CK352" s="64"/>
      <c r="CL352" s="64"/>
      <c r="CM352" s="64"/>
      <c r="CN352" s="64"/>
      <c r="CO352" s="64"/>
      <c r="CP352" s="64"/>
      <c r="CQ352" s="64"/>
      <c r="CR352" s="64"/>
      <c r="CS352" s="64"/>
      <c r="CT352" s="64"/>
      <c r="CU352" s="64"/>
      <c r="CV352" s="64"/>
      <c r="CW352" s="64"/>
      <c r="CX352" s="64"/>
      <c r="CY352" s="1011"/>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c r="FC352" s="64"/>
      <c r="FD352" s="64"/>
      <c r="FE352" s="64"/>
      <c r="FF352" s="64"/>
      <c r="FG352" s="64"/>
      <c r="FH352" s="64"/>
      <c r="FI352" s="64"/>
      <c r="FJ352" s="64"/>
      <c r="FK352" s="64"/>
      <c r="FL352" s="64"/>
      <c r="FM352" s="64"/>
      <c r="FN352" s="64"/>
      <c r="FO352" s="64"/>
      <c r="FP352" s="64"/>
      <c r="FQ352" s="64"/>
      <c r="FR352" s="64"/>
      <c r="FS352" s="64"/>
      <c r="FT352" s="64"/>
      <c r="FU352" s="64"/>
      <c r="FV352" s="64"/>
      <c r="FW352" s="64"/>
      <c r="FX352" s="64"/>
      <c r="FY352" s="64"/>
      <c r="FZ352" s="64"/>
      <c r="GA352" s="64"/>
      <c r="GB352" s="64"/>
      <c r="GC352" s="64"/>
      <c r="GD352" s="64"/>
      <c r="GE352" s="64"/>
      <c r="GF352" s="64"/>
      <c r="GG352" s="64"/>
      <c r="GH352" s="64"/>
      <c r="GI352" s="64"/>
      <c r="GJ352" s="64"/>
      <c r="GK352" s="64"/>
      <c r="GL352" s="64"/>
      <c r="GM352" s="64"/>
      <c r="GN352" s="64"/>
      <c r="GO352" s="64"/>
      <c r="GP352" s="64"/>
      <c r="GQ352" s="64"/>
      <c r="GR352" s="64"/>
      <c r="GS352" s="64"/>
      <c r="GT352" s="64"/>
      <c r="GU352" s="64"/>
      <c r="GV352" s="64"/>
      <c r="GW352" s="64"/>
      <c r="GX352" s="64"/>
      <c r="GY352" s="64"/>
      <c r="GZ352" s="64"/>
      <c r="HA352" s="64"/>
      <c r="HB352" s="64"/>
      <c r="HC352" s="64"/>
      <c r="HD352" s="64"/>
      <c r="HE352" s="64"/>
      <c r="HF352" s="64"/>
      <c r="HG352" s="64"/>
      <c r="HH352" s="64"/>
      <c r="HI352" s="64"/>
      <c r="HJ352" s="64"/>
      <c r="HK352" s="64"/>
      <c r="HL352" s="64"/>
      <c r="HM352" s="64"/>
      <c r="HN352" s="64"/>
      <c r="HO352" s="64"/>
      <c r="HP352" s="64"/>
      <c r="HQ352" s="64"/>
      <c r="HR352" s="64"/>
      <c r="HS352" s="64"/>
      <c r="HT352" s="64"/>
      <c r="HU352" s="64"/>
      <c r="HV352" s="64"/>
      <c r="HW352" s="64"/>
      <c r="HX352" s="64"/>
      <c r="HY352" s="64"/>
      <c r="HZ352" s="64"/>
      <c r="IA352" s="64"/>
      <c r="IB352" s="64"/>
      <c r="IC352" s="64"/>
      <c r="ID352" s="64"/>
      <c r="IE352" s="64"/>
      <c r="IF352" s="64"/>
      <c r="IG352" s="64"/>
      <c r="IH352" s="64"/>
      <c r="II352" s="64"/>
      <c r="IJ352" s="64"/>
      <c r="IK352" s="64"/>
      <c r="IL352" s="64"/>
      <c r="IM352" s="64"/>
      <c r="IN352" s="64"/>
      <c r="IO352" s="64"/>
      <c r="IP352" s="64"/>
      <c r="IQ352" s="64"/>
      <c r="IR352" s="64"/>
      <c r="IS352" s="64"/>
      <c r="IT352" s="64"/>
      <c r="IU352" s="64"/>
      <c r="IV352" s="64"/>
      <c r="IW352" s="64"/>
      <c r="IX352" s="64"/>
      <c r="IY352" s="64"/>
      <c r="IZ352" s="64"/>
      <c r="JA352" s="64"/>
      <c r="JB352" s="64"/>
      <c r="JC352" s="64"/>
      <c r="JD352" s="64"/>
      <c r="JE352" s="64"/>
      <c r="JF352" s="64"/>
      <c r="JG352" s="64"/>
      <c r="JH352" s="64"/>
      <c r="JI352" s="64"/>
    </row>
    <row r="353" spans="1:269" s="920" customFormat="1" x14ac:dyDescent="0.2">
      <c r="A353" s="116"/>
      <c r="B353" s="64"/>
      <c r="C353" s="64"/>
      <c r="D353" s="64"/>
      <c r="E353" s="64"/>
      <c r="F353" s="64"/>
      <c r="G353" s="64"/>
      <c r="H353" s="64"/>
      <c r="I353" s="64"/>
      <c r="J353" s="116"/>
      <c r="K353" s="116"/>
      <c r="L353" s="116"/>
      <c r="M353" s="116"/>
      <c r="N353" s="116"/>
      <c r="O353" s="116"/>
      <c r="P353" s="116"/>
      <c r="Q353" s="102"/>
      <c r="R353" s="102"/>
      <c r="S353" s="102"/>
      <c r="T353" s="102"/>
      <c r="U353" s="913"/>
      <c r="V353" s="114"/>
      <c r="W353" s="805"/>
      <c r="X353" s="805"/>
      <c r="Y353" s="805"/>
      <c r="Z353" s="914"/>
      <c r="AA353" s="102"/>
      <c r="AB353" s="102"/>
      <c r="AC353" s="102"/>
      <c r="AD353" s="102"/>
      <c r="AE353" s="102"/>
      <c r="AF353" s="102"/>
      <c r="AG353" s="102"/>
      <c r="AH353" s="102"/>
      <c r="AI353" s="102"/>
      <c r="AJ353" s="906"/>
      <c r="AK353" s="102"/>
      <c r="AL353" s="915"/>
      <c r="AM353" s="915"/>
      <c r="AN353" s="114"/>
      <c r="AO353" s="64"/>
      <c r="AP353" s="64"/>
      <c r="AQ353" s="64"/>
      <c r="AR353" s="916"/>
      <c r="AS353" s="916"/>
      <c r="AT353" s="916"/>
      <c r="AU353" s="917"/>
      <c r="AV353" s="917"/>
      <c r="AW353" s="917"/>
      <c r="AX353" s="918"/>
      <c r="AY353" s="916"/>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917"/>
      <c r="CA353" s="917"/>
      <c r="CB353" s="64"/>
      <c r="CC353" s="919"/>
      <c r="CD353" s="919"/>
      <c r="CE353" s="64"/>
      <c r="CF353" s="528"/>
      <c r="CG353" s="529"/>
      <c r="CH353" s="64"/>
      <c r="CI353" s="64"/>
      <c r="CJ353" s="64"/>
      <c r="CK353" s="64"/>
      <c r="CL353" s="64"/>
      <c r="CM353" s="64"/>
      <c r="CN353" s="64"/>
      <c r="CO353" s="64"/>
      <c r="CP353" s="64"/>
      <c r="CQ353" s="64"/>
      <c r="CR353" s="64"/>
      <c r="CS353" s="64"/>
      <c r="CT353" s="64"/>
      <c r="CU353" s="64"/>
      <c r="CV353" s="64"/>
      <c r="CW353" s="64"/>
      <c r="CX353" s="64"/>
      <c r="CY353" s="1011"/>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c r="FC353" s="64"/>
      <c r="FD353" s="64"/>
      <c r="FE353" s="64"/>
      <c r="FF353" s="64"/>
      <c r="FG353" s="64"/>
      <c r="FH353" s="64"/>
      <c r="FI353" s="64"/>
      <c r="FJ353" s="64"/>
      <c r="FK353" s="64"/>
      <c r="FL353" s="64"/>
      <c r="FM353" s="64"/>
      <c r="FN353" s="64"/>
      <c r="FO353" s="64"/>
      <c r="FP353" s="64"/>
      <c r="FQ353" s="64"/>
      <c r="FR353" s="64"/>
      <c r="FS353" s="64"/>
      <c r="FT353" s="64"/>
      <c r="FU353" s="64"/>
      <c r="FV353" s="64"/>
      <c r="FW353" s="64"/>
      <c r="FX353" s="64"/>
      <c r="FY353" s="64"/>
      <c r="FZ353" s="64"/>
      <c r="GA353" s="64"/>
      <c r="GB353" s="64"/>
      <c r="GC353" s="64"/>
      <c r="GD353" s="64"/>
      <c r="GE353" s="64"/>
      <c r="GF353" s="64"/>
      <c r="GG353" s="64"/>
      <c r="GH353" s="64"/>
      <c r="GI353" s="64"/>
      <c r="GJ353" s="64"/>
      <c r="GK353" s="64"/>
      <c r="GL353" s="64"/>
      <c r="GM353" s="64"/>
      <c r="GN353" s="64"/>
      <c r="GO353" s="64"/>
      <c r="GP353" s="64"/>
      <c r="GQ353" s="64"/>
      <c r="GR353" s="64"/>
      <c r="GS353" s="64"/>
      <c r="GT353" s="64"/>
      <c r="GU353" s="64"/>
      <c r="GV353" s="64"/>
      <c r="GW353" s="64"/>
      <c r="GX353" s="64"/>
      <c r="GY353" s="64"/>
      <c r="GZ353" s="64"/>
      <c r="HA353" s="64"/>
      <c r="HB353" s="64"/>
      <c r="HC353" s="64"/>
      <c r="HD353" s="64"/>
      <c r="HE353" s="64"/>
      <c r="HF353" s="64"/>
      <c r="HG353" s="64"/>
      <c r="HH353" s="64"/>
      <c r="HI353" s="64"/>
      <c r="HJ353" s="64"/>
      <c r="HK353" s="64"/>
      <c r="HL353" s="64"/>
      <c r="HM353" s="64"/>
      <c r="HN353" s="64"/>
      <c r="HO353" s="64"/>
      <c r="HP353" s="64"/>
      <c r="HQ353" s="64"/>
      <c r="HR353" s="64"/>
      <c r="HS353" s="64"/>
      <c r="HT353" s="64"/>
      <c r="HU353" s="64"/>
      <c r="HV353" s="64"/>
      <c r="HW353" s="64"/>
      <c r="HX353" s="64"/>
      <c r="HY353" s="64"/>
      <c r="HZ353" s="64"/>
      <c r="IA353" s="64"/>
      <c r="IB353" s="64"/>
      <c r="IC353" s="64"/>
      <c r="ID353" s="64"/>
      <c r="IE353" s="64"/>
      <c r="IF353" s="64"/>
      <c r="IG353" s="64"/>
      <c r="IH353" s="64"/>
      <c r="II353" s="64"/>
      <c r="IJ353" s="64"/>
      <c r="IK353" s="64"/>
      <c r="IL353" s="64"/>
      <c r="IM353" s="64"/>
      <c r="IN353" s="64"/>
      <c r="IO353" s="64"/>
      <c r="IP353" s="64"/>
      <c r="IQ353" s="64"/>
      <c r="IR353" s="64"/>
      <c r="IS353" s="64"/>
      <c r="IT353" s="64"/>
      <c r="IU353" s="64"/>
      <c r="IV353" s="64"/>
      <c r="IW353" s="64"/>
      <c r="IX353" s="64"/>
      <c r="IY353" s="64"/>
      <c r="IZ353" s="64"/>
      <c r="JA353" s="64"/>
      <c r="JB353" s="64"/>
      <c r="JC353" s="64"/>
      <c r="JD353" s="64"/>
      <c r="JE353" s="64"/>
      <c r="JF353" s="64"/>
      <c r="JG353" s="64"/>
      <c r="JH353" s="64"/>
      <c r="JI353" s="64"/>
    </row>
    <row r="354" spans="1:269" s="920" customFormat="1" x14ac:dyDescent="0.2">
      <c r="A354" s="116"/>
      <c r="B354" s="64"/>
      <c r="C354" s="64"/>
      <c r="D354" s="64"/>
      <c r="E354" s="64"/>
      <c r="F354" s="64"/>
      <c r="G354" s="64"/>
      <c r="H354" s="64"/>
      <c r="I354" s="64"/>
      <c r="J354" s="116"/>
      <c r="K354" s="116"/>
      <c r="L354" s="116"/>
      <c r="M354" s="116"/>
      <c r="N354" s="116"/>
      <c r="O354" s="116"/>
      <c r="P354" s="116"/>
      <c r="Q354" s="102"/>
      <c r="R354" s="102"/>
      <c r="S354" s="102"/>
      <c r="T354" s="102"/>
      <c r="U354" s="913"/>
      <c r="V354" s="114"/>
      <c r="W354" s="805"/>
      <c r="X354" s="805"/>
      <c r="Y354" s="805"/>
      <c r="Z354" s="914"/>
      <c r="AA354" s="102"/>
      <c r="AB354" s="102"/>
      <c r="AC354" s="102"/>
      <c r="AD354" s="102"/>
      <c r="AE354" s="102"/>
      <c r="AF354" s="102"/>
      <c r="AG354" s="102"/>
      <c r="AH354" s="102"/>
      <c r="AI354" s="102"/>
      <c r="AJ354" s="906"/>
      <c r="AK354" s="102"/>
      <c r="AL354" s="915"/>
      <c r="AM354" s="915"/>
      <c r="AN354" s="114"/>
      <c r="AO354" s="64"/>
      <c r="AP354" s="64"/>
      <c r="AQ354" s="64"/>
      <c r="AR354" s="916"/>
      <c r="AS354" s="916"/>
      <c r="AT354" s="916"/>
      <c r="AU354" s="917"/>
      <c r="AV354" s="917"/>
      <c r="AW354" s="917"/>
      <c r="AX354" s="918"/>
      <c r="AY354" s="916"/>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917"/>
      <c r="CA354" s="917"/>
      <c r="CB354" s="64"/>
      <c r="CC354" s="919"/>
      <c r="CD354" s="919"/>
      <c r="CE354" s="64"/>
      <c r="CF354" s="528"/>
      <c r="CG354" s="529"/>
      <c r="CH354" s="64"/>
      <c r="CI354" s="64"/>
      <c r="CJ354" s="64"/>
      <c r="CK354" s="64"/>
      <c r="CL354" s="64"/>
      <c r="CM354" s="64"/>
      <c r="CN354" s="64"/>
      <c r="CO354" s="64"/>
      <c r="CP354" s="64"/>
      <c r="CQ354" s="64"/>
      <c r="CR354" s="64"/>
      <c r="CS354" s="64"/>
      <c r="CT354" s="64"/>
      <c r="CU354" s="64"/>
      <c r="CV354" s="64"/>
      <c r="CW354" s="64"/>
      <c r="CX354" s="64"/>
      <c r="CY354" s="1011"/>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c r="FC354" s="64"/>
      <c r="FD354" s="64"/>
      <c r="FE354" s="64"/>
      <c r="FF354" s="64"/>
      <c r="FG354" s="64"/>
      <c r="FH354" s="64"/>
      <c r="FI354" s="64"/>
      <c r="FJ354" s="64"/>
      <c r="FK354" s="64"/>
      <c r="FL354" s="64"/>
      <c r="FM354" s="64"/>
      <c r="FN354" s="64"/>
      <c r="FO354" s="64"/>
      <c r="FP354" s="64"/>
      <c r="FQ354" s="64"/>
      <c r="FR354" s="64"/>
      <c r="FS354" s="64"/>
      <c r="FT354" s="64"/>
      <c r="FU354" s="64"/>
      <c r="FV354" s="64"/>
      <c r="FW354" s="64"/>
      <c r="FX354" s="64"/>
      <c r="FY354" s="64"/>
      <c r="FZ354" s="64"/>
      <c r="GA354" s="64"/>
      <c r="GB354" s="64"/>
      <c r="GC354" s="64"/>
      <c r="GD354" s="64"/>
      <c r="GE354" s="64"/>
      <c r="GF354" s="64"/>
      <c r="GG354" s="64"/>
      <c r="GH354" s="64"/>
      <c r="GI354" s="64"/>
      <c r="GJ354" s="64"/>
      <c r="GK354" s="64"/>
      <c r="GL354" s="64"/>
      <c r="GM354" s="64"/>
      <c r="GN354" s="64"/>
      <c r="GO354" s="64"/>
      <c r="GP354" s="64"/>
      <c r="GQ354" s="64"/>
      <c r="GR354" s="64"/>
      <c r="GS354" s="64"/>
      <c r="GT354" s="64"/>
      <c r="GU354" s="64"/>
      <c r="GV354" s="64"/>
      <c r="GW354" s="64"/>
      <c r="GX354" s="64"/>
      <c r="GY354" s="64"/>
      <c r="GZ354" s="64"/>
      <c r="HA354" s="64"/>
      <c r="HB354" s="64"/>
      <c r="HC354" s="64"/>
      <c r="HD354" s="64"/>
      <c r="HE354" s="64"/>
      <c r="HF354" s="64"/>
      <c r="HG354" s="64"/>
      <c r="HH354" s="64"/>
      <c r="HI354" s="64"/>
      <c r="HJ354" s="64"/>
      <c r="HK354" s="64"/>
      <c r="HL354" s="64"/>
      <c r="HM354" s="64"/>
      <c r="HN354" s="64"/>
      <c r="HO354" s="64"/>
      <c r="HP354" s="64"/>
      <c r="HQ354" s="64"/>
      <c r="HR354" s="64"/>
      <c r="HS354" s="64"/>
      <c r="HT354" s="64"/>
      <c r="HU354" s="64"/>
      <c r="HV354" s="64"/>
      <c r="HW354" s="64"/>
      <c r="HX354" s="64"/>
      <c r="HY354" s="64"/>
      <c r="HZ354" s="64"/>
      <c r="IA354" s="64"/>
      <c r="IB354" s="64"/>
      <c r="IC354" s="64"/>
      <c r="ID354" s="64"/>
      <c r="IE354" s="64"/>
      <c r="IF354" s="64"/>
      <c r="IG354" s="64"/>
      <c r="IH354" s="64"/>
      <c r="II354" s="64"/>
      <c r="IJ354" s="64"/>
      <c r="IK354" s="64"/>
      <c r="IL354" s="64"/>
      <c r="IM354" s="64"/>
      <c r="IN354" s="64"/>
      <c r="IO354" s="64"/>
      <c r="IP354" s="64"/>
      <c r="IQ354" s="64"/>
      <c r="IR354" s="64"/>
      <c r="IS354" s="64"/>
      <c r="IT354" s="64"/>
      <c r="IU354" s="64"/>
      <c r="IV354" s="64"/>
      <c r="IW354" s="64"/>
      <c r="IX354" s="64"/>
      <c r="IY354" s="64"/>
      <c r="IZ354" s="64"/>
      <c r="JA354" s="64"/>
      <c r="JB354" s="64"/>
      <c r="JC354" s="64"/>
      <c r="JD354" s="64"/>
      <c r="JE354" s="64"/>
      <c r="JF354" s="64"/>
      <c r="JG354" s="64"/>
      <c r="JH354" s="64"/>
      <c r="JI354" s="64"/>
    </row>
    <row r="355" spans="1:269" s="920" customFormat="1" x14ac:dyDescent="0.2">
      <c r="A355" s="116"/>
      <c r="B355" s="64"/>
      <c r="C355" s="64"/>
      <c r="D355" s="64"/>
      <c r="E355" s="64"/>
      <c r="F355" s="64"/>
      <c r="G355" s="64"/>
      <c r="H355" s="64"/>
      <c r="I355" s="64"/>
      <c r="J355" s="116"/>
      <c r="K355" s="116"/>
      <c r="L355" s="116"/>
      <c r="M355" s="116"/>
      <c r="N355" s="116"/>
      <c r="O355" s="116"/>
      <c r="P355" s="116"/>
      <c r="Q355" s="102"/>
      <c r="R355" s="102"/>
      <c r="S355" s="102"/>
      <c r="T355" s="102"/>
      <c r="U355" s="913"/>
      <c r="V355" s="114"/>
      <c r="W355" s="805"/>
      <c r="X355" s="805"/>
      <c r="Y355" s="805"/>
      <c r="Z355" s="914"/>
      <c r="AA355" s="102"/>
      <c r="AB355" s="102"/>
      <c r="AC355" s="102"/>
      <c r="AD355" s="102"/>
      <c r="AE355" s="102"/>
      <c r="AF355" s="102"/>
      <c r="AG355" s="102"/>
      <c r="AH355" s="102"/>
      <c r="AI355" s="102"/>
      <c r="AJ355" s="906"/>
      <c r="AK355" s="102"/>
      <c r="AL355" s="915"/>
      <c r="AM355" s="915"/>
      <c r="AN355" s="114"/>
      <c r="AO355" s="64"/>
      <c r="AP355" s="64"/>
      <c r="AQ355" s="64"/>
      <c r="AR355" s="916"/>
      <c r="AS355" s="916"/>
      <c r="AT355" s="916"/>
      <c r="AU355" s="917"/>
      <c r="AV355" s="917"/>
      <c r="AW355" s="917"/>
      <c r="AX355" s="918"/>
      <c r="AY355" s="916"/>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917"/>
      <c r="CA355" s="917"/>
      <c r="CB355" s="64"/>
      <c r="CC355" s="919"/>
      <c r="CD355" s="919"/>
      <c r="CE355" s="64"/>
      <c r="CF355" s="528"/>
      <c r="CG355" s="529"/>
      <c r="CH355" s="64"/>
      <c r="CI355" s="64"/>
      <c r="CJ355" s="64"/>
      <c r="CK355" s="64"/>
      <c r="CL355" s="64"/>
      <c r="CM355" s="64"/>
      <c r="CN355" s="64"/>
      <c r="CO355" s="64"/>
      <c r="CP355" s="64"/>
      <c r="CQ355" s="64"/>
      <c r="CR355" s="64"/>
      <c r="CS355" s="64"/>
      <c r="CT355" s="64"/>
      <c r="CU355" s="64"/>
      <c r="CV355" s="64"/>
      <c r="CW355" s="64"/>
      <c r="CX355" s="64"/>
      <c r="CY355" s="1011"/>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c r="FC355" s="64"/>
      <c r="FD355" s="64"/>
      <c r="FE355" s="64"/>
      <c r="FF355" s="64"/>
      <c r="FG355" s="64"/>
      <c r="FH355" s="64"/>
      <c r="FI355" s="64"/>
      <c r="FJ355" s="64"/>
      <c r="FK355" s="64"/>
      <c r="FL355" s="64"/>
      <c r="FM355" s="64"/>
      <c r="FN355" s="64"/>
      <c r="FO355" s="64"/>
      <c r="FP355" s="64"/>
      <c r="FQ355" s="64"/>
      <c r="FR355" s="64"/>
      <c r="FS355" s="64"/>
      <c r="FT355" s="64"/>
      <c r="FU355" s="64"/>
      <c r="FV355" s="64"/>
      <c r="FW355" s="64"/>
      <c r="FX355" s="64"/>
      <c r="FY355" s="64"/>
      <c r="FZ355" s="64"/>
      <c r="GA355" s="64"/>
      <c r="GB355" s="64"/>
      <c r="GC355" s="64"/>
      <c r="GD355" s="64"/>
      <c r="GE355" s="64"/>
      <c r="GF355" s="64"/>
      <c r="GG355" s="64"/>
      <c r="GH355" s="64"/>
      <c r="GI355" s="64"/>
      <c r="GJ355" s="64"/>
      <c r="GK355" s="64"/>
      <c r="GL355" s="64"/>
      <c r="GM355" s="64"/>
      <c r="GN355" s="64"/>
      <c r="GO355" s="64"/>
      <c r="GP355" s="64"/>
      <c r="GQ355" s="64"/>
      <c r="GR355" s="64"/>
      <c r="GS355" s="64"/>
      <c r="GT355" s="64"/>
      <c r="GU355" s="64"/>
      <c r="GV355" s="64"/>
      <c r="GW355" s="64"/>
      <c r="GX355" s="64"/>
      <c r="GY355" s="64"/>
      <c r="GZ355" s="64"/>
      <c r="HA355" s="64"/>
      <c r="HB355" s="64"/>
      <c r="HC355" s="64"/>
      <c r="HD355" s="64"/>
      <c r="HE355" s="64"/>
      <c r="HF355" s="64"/>
      <c r="HG355" s="64"/>
      <c r="HH355" s="64"/>
      <c r="HI355" s="64"/>
      <c r="HJ355" s="64"/>
      <c r="HK355" s="64"/>
      <c r="HL355" s="64"/>
      <c r="HM355" s="64"/>
      <c r="HN355" s="64"/>
      <c r="HO355" s="64"/>
      <c r="HP355" s="64"/>
      <c r="HQ355" s="64"/>
      <c r="HR355" s="64"/>
      <c r="HS355" s="64"/>
      <c r="HT355" s="64"/>
      <c r="HU355" s="64"/>
      <c r="HV355" s="64"/>
      <c r="HW355" s="64"/>
      <c r="HX355" s="64"/>
      <c r="HY355" s="64"/>
      <c r="HZ355" s="64"/>
      <c r="IA355" s="64"/>
      <c r="IB355" s="64"/>
      <c r="IC355" s="64"/>
      <c r="ID355" s="64"/>
      <c r="IE355" s="64"/>
      <c r="IF355" s="64"/>
      <c r="IG355" s="64"/>
      <c r="IH355" s="64"/>
      <c r="II355" s="64"/>
      <c r="IJ355" s="64"/>
      <c r="IK355" s="64"/>
      <c r="IL355" s="64"/>
      <c r="IM355" s="64"/>
      <c r="IN355" s="64"/>
      <c r="IO355" s="64"/>
      <c r="IP355" s="64"/>
      <c r="IQ355" s="64"/>
      <c r="IR355" s="64"/>
      <c r="IS355" s="64"/>
      <c r="IT355" s="64"/>
      <c r="IU355" s="64"/>
      <c r="IV355" s="64"/>
      <c r="IW355" s="64"/>
      <c r="IX355" s="64"/>
      <c r="IY355" s="64"/>
      <c r="IZ355" s="64"/>
      <c r="JA355" s="64"/>
      <c r="JB355" s="64"/>
      <c r="JC355" s="64"/>
      <c r="JD355" s="64"/>
      <c r="JE355" s="64"/>
      <c r="JF355" s="64"/>
      <c r="JG355" s="64"/>
      <c r="JH355" s="64"/>
      <c r="JI355" s="64"/>
    </row>
    <row r="356" spans="1:269" s="920" customFormat="1" x14ac:dyDescent="0.2">
      <c r="A356" s="116"/>
      <c r="B356" s="64"/>
      <c r="C356" s="64"/>
      <c r="D356" s="64"/>
      <c r="E356" s="64"/>
      <c r="F356" s="64"/>
      <c r="G356" s="64"/>
      <c r="H356" s="64"/>
      <c r="I356" s="64"/>
      <c r="J356" s="116"/>
      <c r="K356" s="116"/>
      <c r="L356" s="116"/>
      <c r="M356" s="116"/>
      <c r="N356" s="116"/>
      <c r="O356" s="116"/>
      <c r="P356" s="116"/>
      <c r="Q356" s="102"/>
      <c r="R356" s="102"/>
      <c r="S356" s="102"/>
      <c r="T356" s="102"/>
      <c r="U356" s="913"/>
      <c r="V356" s="114"/>
      <c r="W356" s="805"/>
      <c r="X356" s="805"/>
      <c r="Y356" s="805"/>
      <c r="Z356" s="914"/>
      <c r="AA356" s="102"/>
      <c r="AB356" s="102"/>
      <c r="AC356" s="102"/>
      <c r="AD356" s="102"/>
      <c r="AE356" s="102"/>
      <c r="AF356" s="102"/>
      <c r="AG356" s="102"/>
      <c r="AH356" s="102"/>
      <c r="AI356" s="102"/>
      <c r="AJ356" s="906"/>
      <c r="AK356" s="102"/>
      <c r="AL356" s="915"/>
      <c r="AM356" s="915"/>
      <c r="AN356" s="114"/>
      <c r="AO356" s="64"/>
      <c r="AP356" s="64"/>
      <c r="AQ356" s="64"/>
      <c r="AR356" s="916"/>
      <c r="AS356" s="916"/>
      <c r="AT356" s="916"/>
      <c r="AU356" s="917"/>
      <c r="AV356" s="917"/>
      <c r="AW356" s="917"/>
      <c r="AX356" s="918"/>
      <c r="AY356" s="916"/>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917"/>
      <c r="CA356" s="917"/>
      <c r="CB356" s="64"/>
      <c r="CC356" s="919"/>
      <c r="CD356" s="919"/>
      <c r="CE356" s="64"/>
      <c r="CF356" s="528"/>
      <c r="CG356" s="529"/>
      <c r="CH356" s="64"/>
      <c r="CI356" s="64"/>
      <c r="CJ356" s="64"/>
      <c r="CK356" s="64"/>
      <c r="CL356" s="64"/>
      <c r="CM356" s="64"/>
      <c r="CN356" s="64"/>
      <c r="CO356" s="64"/>
      <c r="CP356" s="64"/>
      <c r="CQ356" s="64"/>
      <c r="CR356" s="64"/>
      <c r="CS356" s="64"/>
      <c r="CT356" s="64"/>
      <c r="CU356" s="64"/>
      <c r="CV356" s="64"/>
      <c r="CW356" s="64"/>
      <c r="CX356" s="64"/>
      <c r="CY356" s="1011"/>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c r="FC356" s="64"/>
      <c r="FD356" s="64"/>
      <c r="FE356" s="64"/>
      <c r="FF356" s="64"/>
      <c r="FG356" s="64"/>
      <c r="FH356" s="64"/>
      <c r="FI356" s="64"/>
      <c r="FJ356" s="64"/>
      <c r="FK356" s="64"/>
      <c r="FL356" s="64"/>
      <c r="FM356" s="64"/>
      <c r="FN356" s="64"/>
      <c r="FO356" s="64"/>
      <c r="FP356" s="64"/>
      <c r="FQ356" s="64"/>
      <c r="FR356" s="64"/>
      <c r="FS356" s="64"/>
      <c r="FT356" s="64"/>
      <c r="FU356" s="64"/>
      <c r="FV356" s="64"/>
      <c r="FW356" s="64"/>
      <c r="FX356" s="64"/>
      <c r="FY356" s="64"/>
      <c r="FZ356" s="64"/>
      <c r="GA356" s="64"/>
      <c r="GB356" s="64"/>
      <c r="GC356" s="64"/>
      <c r="GD356" s="64"/>
      <c r="GE356" s="64"/>
      <c r="GF356" s="64"/>
      <c r="GG356" s="64"/>
      <c r="GH356" s="64"/>
      <c r="GI356" s="64"/>
      <c r="GJ356" s="64"/>
      <c r="GK356" s="64"/>
      <c r="GL356" s="64"/>
      <c r="GM356" s="64"/>
      <c r="GN356" s="64"/>
      <c r="GO356" s="64"/>
      <c r="GP356" s="64"/>
      <c r="GQ356" s="64"/>
      <c r="GR356" s="64"/>
      <c r="GS356" s="64"/>
      <c r="GT356" s="64"/>
      <c r="GU356" s="64"/>
      <c r="GV356" s="64"/>
      <c r="GW356" s="64"/>
      <c r="GX356" s="64"/>
      <c r="GY356" s="64"/>
      <c r="GZ356" s="64"/>
      <c r="HA356" s="64"/>
      <c r="HB356" s="64"/>
      <c r="HC356" s="64"/>
      <c r="HD356" s="64"/>
      <c r="HE356" s="64"/>
      <c r="HF356" s="64"/>
      <c r="HG356" s="64"/>
      <c r="HH356" s="64"/>
      <c r="HI356" s="64"/>
      <c r="HJ356" s="64"/>
      <c r="HK356" s="64"/>
      <c r="HL356" s="64"/>
      <c r="HM356" s="64"/>
      <c r="HN356" s="64"/>
      <c r="HO356" s="64"/>
      <c r="HP356" s="64"/>
      <c r="HQ356" s="64"/>
      <c r="HR356" s="64"/>
      <c r="HS356" s="64"/>
      <c r="HT356" s="64"/>
      <c r="HU356" s="64"/>
      <c r="HV356" s="64"/>
      <c r="HW356" s="64"/>
      <c r="HX356" s="64"/>
      <c r="HY356" s="64"/>
      <c r="HZ356" s="64"/>
      <c r="IA356" s="64"/>
      <c r="IB356" s="64"/>
      <c r="IC356" s="64"/>
      <c r="ID356" s="64"/>
      <c r="IE356" s="64"/>
      <c r="IF356" s="64"/>
      <c r="IG356" s="64"/>
      <c r="IH356" s="64"/>
      <c r="II356" s="64"/>
      <c r="IJ356" s="64"/>
      <c r="IK356" s="64"/>
      <c r="IL356" s="64"/>
      <c r="IM356" s="64"/>
      <c r="IN356" s="64"/>
      <c r="IO356" s="64"/>
      <c r="IP356" s="64"/>
      <c r="IQ356" s="64"/>
      <c r="IR356" s="64"/>
      <c r="IS356" s="64"/>
      <c r="IT356" s="64"/>
      <c r="IU356" s="64"/>
      <c r="IV356" s="64"/>
      <c r="IW356" s="64"/>
      <c r="IX356" s="64"/>
      <c r="IY356" s="64"/>
      <c r="IZ356" s="64"/>
      <c r="JA356" s="64"/>
      <c r="JB356" s="64"/>
      <c r="JC356" s="64"/>
      <c r="JD356" s="64"/>
      <c r="JE356" s="64"/>
      <c r="JF356" s="64"/>
      <c r="JG356" s="64"/>
      <c r="JH356" s="64"/>
      <c r="JI356" s="64"/>
    </row>
    <row r="357" spans="1:269" s="920" customFormat="1" x14ac:dyDescent="0.2">
      <c r="A357" s="116"/>
      <c r="B357" s="64"/>
      <c r="C357" s="64"/>
      <c r="D357" s="64"/>
      <c r="E357" s="64"/>
      <c r="F357" s="64"/>
      <c r="G357" s="64"/>
      <c r="H357" s="64"/>
      <c r="I357" s="64"/>
      <c r="J357" s="116"/>
      <c r="K357" s="116"/>
      <c r="L357" s="116"/>
      <c r="M357" s="116"/>
      <c r="N357" s="116"/>
      <c r="O357" s="116"/>
      <c r="P357" s="116"/>
      <c r="Q357" s="102"/>
      <c r="R357" s="102"/>
      <c r="S357" s="102"/>
      <c r="T357" s="102"/>
      <c r="U357" s="913"/>
      <c r="V357" s="114"/>
      <c r="W357" s="805"/>
      <c r="X357" s="805"/>
      <c r="Y357" s="805"/>
      <c r="Z357" s="914"/>
      <c r="AA357" s="102"/>
      <c r="AB357" s="102"/>
      <c r="AC357" s="102"/>
      <c r="AD357" s="102"/>
      <c r="AE357" s="102"/>
      <c r="AF357" s="102"/>
      <c r="AG357" s="102"/>
      <c r="AH357" s="102"/>
      <c r="AI357" s="102"/>
      <c r="AJ357" s="906"/>
      <c r="AK357" s="102"/>
      <c r="AL357" s="915"/>
      <c r="AM357" s="915"/>
      <c r="AN357" s="114"/>
      <c r="AO357" s="64"/>
      <c r="AP357" s="64"/>
      <c r="AQ357" s="64"/>
      <c r="AR357" s="916"/>
      <c r="AS357" s="916"/>
      <c r="AT357" s="916"/>
      <c r="AU357" s="917"/>
      <c r="AV357" s="917"/>
      <c r="AW357" s="917"/>
      <c r="AX357" s="918"/>
      <c r="AY357" s="916"/>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917"/>
      <c r="CA357" s="917"/>
      <c r="CB357" s="64"/>
      <c r="CC357" s="919"/>
      <c r="CD357" s="919"/>
      <c r="CE357" s="64"/>
      <c r="CF357" s="528"/>
      <c r="CG357" s="529"/>
      <c r="CH357" s="64"/>
      <c r="CI357" s="64"/>
      <c r="CJ357" s="64"/>
      <c r="CK357" s="64"/>
      <c r="CL357" s="64"/>
      <c r="CM357" s="64"/>
      <c r="CN357" s="64"/>
      <c r="CO357" s="64"/>
      <c r="CP357" s="64"/>
      <c r="CQ357" s="64"/>
      <c r="CR357" s="64"/>
      <c r="CS357" s="64"/>
      <c r="CT357" s="64"/>
      <c r="CU357" s="64"/>
      <c r="CV357" s="64"/>
      <c r="CW357" s="64"/>
      <c r="CX357" s="64"/>
      <c r="CY357" s="1011"/>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c r="FC357" s="64"/>
      <c r="FD357" s="64"/>
      <c r="FE357" s="64"/>
      <c r="FF357" s="64"/>
      <c r="FG357" s="64"/>
      <c r="FH357" s="64"/>
      <c r="FI357" s="64"/>
      <c r="FJ357" s="64"/>
      <c r="FK357" s="64"/>
      <c r="FL357" s="64"/>
      <c r="FM357" s="64"/>
      <c r="FN357" s="64"/>
      <c r="FO357" s="64"/>
      <c r="FP357" s="64"/>
      <c r="FQ357" s="64"/>
      <c r="FR357" s="64"/>
      <c r="FS357" s="64"/>
      <c r="FT357" s="64"/>
      <c r="FU357" s="64"/>
      <c r="FV357" s="64"/>
      <c r="FW357" s="64"/>
      <c r="FX357" s="64"/>
      <c r="FY357" s="64"/>
      <c r="FZ357" s="64"/>
      <c r="GA357" s="64"/>
      <c r="GB357" s="64"/>
      <c r="GC357" s="64"/>
      <c r="GD357" s="64"/>
      <c r="GE357" s="64"/>
      <c r="GF357" s="64"/>
      <c r="GG357" s="64"/>
      <c r="GH357" s="64"/>
      <c r="GI357" s="64"/>
      <c r="GJ357" s="64"/>
      <c r="GK357" s="64"/>
      <c r="GL357" s="64"/>
      <c r="GM357" s="64"/>
      <c r="GN357" s="64"/>
      <c r="GO357" s="64"/>
      <c r="GP357" s="64"/>
      <c r="GQ357" s="64"/>
      <c r="GR357" s="64"/>
      <c r="GS357" s="64"/>
      <c r="GT357" s="64"/>
      <c r="GU357" s="64"/>
      <c r="GV357" s="64"/>
      <c r="GW357" s="64"/>
      <c r="GX357" s="64"/>
      <c r="GY357" s="64"/>
      <c r="GZ357" s="64"/>
      <c r="HA357" s="64"/>
      <c r="HB357" s="64"/>
      <c r="HC357" s="64"/>
      <c r="HD357" s="64"/>
      <c r="HE357" s="64"/>
      <c r="HF357" s="64"/>
      <c r="HG357" s="64"/>
      <c r="HH357" s="64"/>
      <c r="HI357" s="64"/>
      <c r="HJ357" s="64"/>
      <c r="HK357" s="64"/>
      <c r="HL357" s="64"/>
      <c r="HM357" s="64"/>
      <c r="HN357" s="64"/>
      <c r="HO357" s="64"/>
      <c r="HP357" s="64"/>
      <c r="HQ357" s="64"/>
      <c r="HR357" s="64"/>
      <c r="HS357" s="64"/>
      <c r="HT357" s="64"/>
      <c r="HU357" s="64"/>
      <c r="HV357" s="64"/>
      <c r="HW357" s="64"/>
      <c r="HX357" s="64"/>
      <c r="HY357" s="64"/>
      <c r="HZ357" s="64"/>
      <c r="IA357" s="64"/>
      <c r="IB357" s="64"/>
      <c r="IC357" s="64"/>
      <c r="ID357" s="64"/>
      <c r="IE357" s="64"/>
      <c r="IF357" s="64"/>
      <c r="IG357" s="64"/>
      <c r="IH357" s="64"/>
      <c r="II357" s="64"/>
      <c r="IJ357" s="64"/>
      <c r="IK357" s="64"/>
      <c r="IL357" s="64"/>
      <c r="IM357" s="64"/>
      <c r="IN357" s="64"/>
      <c r="IO357" s="64"/>
      <c r="IP357" s="64"/>
      <c r="IQ357" s="64"/>
      <c r="IR357" s="64"/>
      <c r="IS357" s="64"/>
      <c r="IT357" s="64"/>
      <c r="IU357" s="64"/>
      <c r="IV357" s="64"/>
      <c r="IW357" s="64"/>
      <c r="IX357" s="64"/>
      <c r="IY357" s="64"/>
      <c r="IZ357" s="64"/>
      <c r="JA357" s="64"/>
      <c r="JB357" s="64"/>
      <c r="JC357" s="64"/>
      <c r="JD357" s="64"/>
      <c r="JE357" s="64"/>
      <c r="JF357" s="64"/>
      <c r="JG357" s="64"/>
      <c r="JH357" s="64"/>
      <c r="JI357" s="64"/>
    </row>
    <row r="358" spans="1:269" s="920" customFormat="1" x14ac:dyDescent="0.2">
      <c r="A358" s="116"/>
      <c r="B358" s="64"/>
      <c r="C358" s="64"/>
      <c r="D358" s="64"/>
      <c r="E358" s="64"/>
      <c r="F358" s="64"/>
      <c r="G358" s="64"/>
      <c r="H358" s="64"/>
      <c r="I358" s="64"/>
      <c r="J358" s="116"/>
      <c r="K358" s="116"/>
      <c r="L358" s="116"/>
      <c r="M358" s="116"/>
      <c r="N358" s="116"/>
      <c r="O358" s="116"/>
      <c r="P358" s="116"/>
      <c r="Q358" s="102"/>
      <c r="R358" s="102"/>
      <c r="S358" s="102"/>
      <c r="T358" s="102"/>
      <c r="U358" s="913"/>
      <c r="V358" s="114"/>
      <c r="W358" s="805"/>
      <c r="X358" s="805"/>
      <c r="Y358" s="805"/>
      <c r="Z358" s="914"/>
      <c r="AA358" s="102"/>
      <c r="AB358" s="102"/>
      <c r="AC358" s="102"/>
      <c r="AD358" s="102"/>
      <c r="AE358" s="102"/>
      <c r="AF358" s="102"/>
      <c r="AG358" s="102"/>
      <c r="AH358" s="102"/>
      <c r="AI358" s="102"/>
      <c r="AJ358" s="906"/>
      <c r="AK358" s="102"/>
      <c r="AL358" s="915"/>
      <c r="AM358" s="915"/>
      <c r="AN358" s="114"/>
      <c r="AO358" s="64"/>
      <c r="AP358" s="64"/>
      <c r="AQ358" s="64"/>
      <c r="AR358" s="916"/>
      <c r="AS358" s="916"/>
      <c r="AT358" s="916"/>
      <c r="AU358" s="917"/>
      <c r="AV358" s="917"/>
      <c r="AW358" s="917"/>
      <c r="AX358" s="918"/>
      <c r="AY358" s="916"/>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917"/>
      <c r="CA358" s="917"/>
      <c r="CB358" s="64"/>
      <c r="CC358" s="919"/>
      <c r="CD358" s="919"/>
      <c r="CE358" s="64"/>
      <c r="CF358" s="528"/>
      <c r="CG358" s="529"/>
      <c r="CH358" s="64"/>
      <c r="CI358" s="64"/>
      <c r="CJ358" s="64"/>
      <c r="CK358" s="64"/>
      <c r="CL358" s="64"/>
      <c r="CM358" s="64"/>
      <c r="CN358" s="64"/>
      <c r="CO358" s="64"/>
      <c r="CP358" s="64"/>
      <c r="CQ358" s="64"/>
      <c r="CR358" s="64"/>
      <c r="CS358" s="64"/>
      <c r="CT358" s="64"/>
      <c r="CU358" s="64"/>
      <c r="CV358" s="64"/>
      <c r="CW358" s="64"/>
      <c r="CX358" s="64"/>
      <c r="CY358" s="1011"/>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c r="FC358" s="64"/>
      <c r="FD358" s="64"/>
      <c r="FE358" s="64"/>
      <c r="FF358" s="64"/>
      <c r="FG358" s="64"/>
      <c r="FH358" s="64"/>
      <c r="FI358" s="64"/>
      <c r="FJ358" s="64"/>
      <c r="FK358" s="64"/>
      <c r="FL358" s="64"/>
      <c r="FM358" s="64"/>
      <c r="FN358" s="64"/>
      <c r="FO358" s="64"/>
      <c r="FP358" s="64"/>
      <c r="FQ358" s="64"/>
      <c r="FR358" s="64"/>
      <c r="FS358" s="64"/>
      <c r="FT358" s="64"/>
      <c r="FU358" s="64"/>
      <c r="FV358" s="64"/>
      <c r="FW358" s="64"/>
      <c r="FX358" s="64"/>
      <c r="FY358" s="64"/>
      <c r="FZ358" s="64"/>
      <c r="GA358" s="64"/>
      <c r="GB358" s="64"/>
      <c r="GC358" s="64"/>
      <c r="GD358" s="64"/>
      <c r="GE358" s="64"/>
      <c r="GF358" s="64"/>
      <c r="GG358" s="64"/>
      <c r="GH358" s="64"/>
      <c r="GI358" s="64"/>
      <c r="GJ358" s="64"/>
      <c r="GK358" s="64"/>
      <c r="GL358" s="64"/>
      <c r="GM358" s="64"/>
      <c r="GN358" s="64"/>
      <c r="GO358" s="64"/>
      <c r="GP358" s="64"/>
      <c r="GQ358" s="64"/>
      <c r="GR358" s="64"/>
      <c r="GS358" s="64"/>
      <c r="GT358" s="64"/>
      <c r="GU358" s="64"/>
      <c r="GV358" s="64"/>
      <c r="GW358" s="64"/>
      <c r="GX358" s="64"/>
      <c r="GY358" s="64"/>
      <c r="GZ358" s="64"/>
      <c r="HA358" s="64"/>
      <c r="HB358" s="64"/>
      <c r="HC358" s="64"/>
      <c r="HD358" s="64"/>
      <c r="HE358" s="64"/>
      <c r="HF358" s="64"/>
      <c r="HG358" s="64"/>
      <c r="HH358" s="64"/>
      <c r="HI358" s="64"/>
      <c r="HJ358" s="64"/>
      <c r="HK358" s="64"/>
      <c r="HL358" s="64"/>
      <c r="HM358" s="64"/>
      <c r="HN358" s="64"/>
      <c r="HO358" s="64"/>
      <c r="HP358" s="64"/>
      <c r="HQ358" s="64"/>
      <c r="HR358" s="64"/>
      <c r="HS358" s="64"/>
      <c r="HT358" s="64"/>
      <c r="HU358" s="64"/>
      <c r="HV358" s="64"/>
      <c r="HW358" s="64"/>
      <c r="HX358" s="64"/>
      <c r="HY358" s="64"/>
      <c r="HZ358" s="64"/>
      <c r="IA358" s="64"/>
      <c r="IB358" s="64"/>
      <c r="IC358" s="64"/>
      <c r="ID358" s="64"/>
      <c r="IE358" s="64"/>
      <c r="IF358" s="64"/>
      <c r="IG358" s="64"/>
      <c r="IH358" s="64"/>
      <c r="II358" s="64"/>
      <c r="IJ358" s="64"/>
      <c r="IK358" s="64"/>
      <c r="IL358" s="64"/>
      <c r="IM358" s="64"/>
      <c r="IN358" s="64"/>
      <c r="IO358" s="64"/>
      <c r="IP358" s="64"/>
      <c r="IQ358" s="64"/>
      <c r="IR358" s="64"/>
      <c r="IS358" s="64"/>
      <c r="IT358" s="64"/>
      <c r="IU358" s="64"/>
      <c r="IV358" s="64"/>
      <c r="IW358" s="64"/>
      <c r="IX358" s="64"/>
      <c r="IY358" s="64"/>
      <c r="IZ358" s="64"/>
      <c r="JA358" s="64"/>
      <c r="JB358" s="64"/>
      <c r="JC358" s="64"/>
      <c r="JD358" s="64"/>
      <c r="JE358" s="64"/>
      <c r="JF358" s="64"/>
      <c r="JG358" s="64"/>
      <c r="JH358" s="64"/>
      <c r="JI358" s="64"/>
    </row>
    <row r="359" spans="1:269" s="920" customFormat="1" x14ac:dyDescent="0.2">
      <c r="A359" s="116"/>
      <c r="B359" s="64"/>
      <c r="C359" s="64"/>
      <c r="D359" s="64"/>
      <c r="E359" s="64"/>
      <c r="F359" s="64"/>
      <c r="G359" s="64"/>
      <c r="H359" s="64"/>
      <c r="I359" s="64"/>
      <c r="J359" s="116"/>
      <c r="K359" s="116"/>
      <c r="L359" s="116"/>
      <c r="M359" s="116"/>
      <c r="N359" s="116"/>
      <c r="O359" s="116"/>
      <c r="P359" s="116"/>
      <c r="Q359" s="102"/>
      <c r="R359" s="102"/>
      <c r="S359" s="102"/>
      <c r="T359" s="102"/>
      <c r="U359" s="913"/>
      <c r="V359" s="114"/>
      <c r="W359" s="805"/>
      <c r="X359" s="805"/>
      <c r="Y359" s="805"/>
      <c r="Z359" s="914"/>
      <c r="AA359" s="102"/>
      <c r="AB359" s="102"/>
      <c r="AC359" s="102"/>
      <c r="AD359" s="102"/>
      <c r="AE359" s="102"/>
      <c r="AF359" s="102"/>
      <c r="AG359" s="102"/>
      <c r="AH359" s="102"/>
      <c r="AI359" s="102"/>
      <c r="AJ359" s="906"/>
      <c r="AK359" s="102"/>
      <c r="AL359" s="915"/>
      <c r="AM359" s="915"/>
      <c r="AN359" s="114"/>
      <c r="AO359" s="64"/>
      <c r="AP359" s="64"/>
      <c r="AQ359" s="64"/>
      <c r="AR359" s="916"/>
      <c r="AS359" s="916"/>
      <c r="AT359" s="916"/>
      <c r="AU359" s="917"/>
      <c r="AV359" s="917"/>
      <c r="AW359" s="917"/>
      <c r="AX359" s="918"/>
      <c r="AY359" s="916"/>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917"/>
      <c r="CA359" s="917"/>
      <c r="CB359" s="64"/>
      <c r="CC359" s="919"/>
      <c r="CD359" s="919"/>
      <c r="CE359" s="64"/>
      <c r="CF359" s="528"/>
      <c r="CG359" s="529"/>
      <c r="CH359" s="64"/>
      <c r="CI359" s="64"/>
      <c r="CJ359" s="64"/>
      <c r="CK359" s="64"/>
      <c r="CL359" s="64"/>
      <c r="CM359" s="64"/>
      <c r="CN359" s="64"/>
      <c r="CO359" s="64"/>
      <c r="CP359" s="64"/>
      <c r="CQ359" s="64"/>
      <c r="CR359" s="64"/>
      <c r="CS359" s="64"/>
      <c r="CT359" s="64"/>
      <c r="CU359" s="64"/>
      <c r="CV359" s="64"/>
      <c r="CW359" s="64"/>
      <c r="CX359" s="64"/>
      <c r="CY359" s="1011"/>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c r="FC359" s="64"/>
      <c r="FD359" s="64"/>
      <c r="FE359" s="64"/>
      <c r="FF359" s="64"/>
      <c r="FG359" s="64"/>
      <c r="FH359" s="64"/>
      <c r="FI359" s="64"/>
      <c r="FJ359" s="64"/>
      <c r="FK359" s="64"/>
      <c r="FL359" s="64"/>
      <c r="FM359" s="64"/>
      <c r="FN359" s="64"/>
      <c r="FO359" s="64"/>
      <c r="FP359" s="64"/>
      <c r="FQ359" s="64"/>
      <c r="FR359" s="64"/>
      <c r="FS359" s="64"/>
      <c r="FT359" s="64"/>
      <c r="FU359" s="64"/>
      <c r="FV359" s="64"/>
      <c r="FW359" s="64"/>
      <c r="FX359" s="64"/>
      <c r="FY359" s="64"/>
      <c r="FZ359" s="64"/>
      <c r="GA359" s="64"/>
      <c r="GB359" s="64"/>
      <c r="GC359" s="64"/>
      <c r="GD359" s="64"/>
      <c r="GE359" s="64"/>
      <c r="GF359" s="64"/>
      <c r="GG359" s="64"/>
      <c r="GH359" s="64"/>
      <c r="GI359" s="64"/>
      <c r="GJ359" s="64"/>
      <c r="GK359" s="64"/>
      <c r="GL359" s="64"/>
      <c r="GM359" s="64"/>
      <c r="GN359" s="64"/>
      <c r="GO359" s="64"/>
      <c r="GP359" s="64"/>
      <c r="GQ359" s="64"/>
      <c r="GR359" s="64"/>
      <c r="GS359" s="64"/>
      <c r="GT359" s="64"/>
      <c r="GU359" s="64"/>
      <c r="GV359" s="64"/>
      <c r="GW359" s="64"/>
      <c r="GX359" s="64"/>
      <c r="GY359" s="64"/>
      <c r="GZ359" s="64"/>
      <c r="HA359" s="64"/>
      <c r="HB359" s="64"/>
      <c r="HC359" s="64"/>
      <c r="HD359" s="64"/>
      <c r="HE359" s="64"/>
      <c r="HF359" s="64"/>
      <c r="HG359" s="64"/>
      <c r="HH359" s="64"/>
      <c r="HI359" s="64"/>
      <c r="HJ359" s="64"/>
      <c r="HK359" s="64"/>
      <c r="HL359" s="64"/>
      <c r="HM359" s="64"/>
      <c r="HN359" s="64"/>
      <c r="HO359" s="64"/>
      <c r="HP359" s="64"/>
      <c r="HQ359" s="64"/>
      <c r="HR359" s="64"/>
      <c r="HS359" s="64"/>
      <c r="HT359" s="64"/>
      <c r="HU359" s="64"/>
      <c r="HV359" s="64"/>
      <c r="HW359" s="64"/>
      <c r="HX359" s="64"/>
      <c r="HY359" s="64"/>
      <c r="HZ359" s="64"/>
      <c r="IA359" s="64"/>
      <c r="IB359" s="64"/>
      <c r="IC359" s="64"/>
      <c r="ID359" s="64"/>
      <c r="IE359" s="64"/>
      <c r="IF359" s="64"/>
      <c r="IG359" s="64"/>
      <c r="IH359" s="64"/>
      <c r="II359" s="64"/>
      <c r="IJ359" s="64"/>
      <c r="IK359" s="64"/>
      <c r="IL359" s="64"/>
      <c r="IM359" s="64"/>
      <c r="IN359" s="64"/>
      <c r="IO359" s="64"/>
      <c r="IP359" s="64"/>
      <c r="IQ359" s="64"/>
      <c r="IR359" s="64"/>
      <c r="IS359" s="64"/>
      <c r="IT359" s="64"/>
      <c r="IU359" s="64"/>
      <c r="IV359" s="64"/>
      <c r="IW359" s="64"/>
      <c r="IX359" s="64"/>
      <c r="IY359" s="64"/>
      <c r="IZ359" s="64"/>
      <c r="JA359" s="64"/>
      <c r="JB359" s="64"/>
      <c r="JC359" s="64"/>
      <c r="JD359" s="64"/>
      <c r="JE359" s="64"/>
      <c r="JF359" s="64"/>
      <c r="JG359" s="64"/>
      <c r="JH359" s="64"/>
      <c r="JI359" s="64"/>
    </row>
    <row r="360" spans="1:269" s="920" customFormat="1" x14ac:dyDescent="0.2">
      <c r="A360" s="116"/>
      <c r="B360" s="64"/>
      <c r="C360" s="64"/>
      <c r="D360" s="64"/>
      <c r="E360" s="64"/>
      <c r="F360" s="64"/>
      <c r="G360" s="64"/>
      <c r="H360" s="64"/>
      <c r="I360" s="64"/>
      <c r="J360" s="116"/>
      <c r="K360" s="116"/>
      <c r="L360" s="116"/>
      <c r="M360" s="116"/>
      <c r="N360" s="116"/>
      <c r="O360" s="116"/>
      <c r="P360" s="116"/>
      <c r="Q360" s="102"/>
      <c r="R360" s="102"/>
      <c r="S360" s="102"/>
      <c r="T360" s="102"/>
      <c r="U360" s="913"/>
      <c r="V360" s="114"/>
      <c r="W360" s="805"/>
      <c r="X360" s="805"/>
      <c r="Y360" s="805"/>
      <c r="Z360" s="914"/>
      <c r="AA360" s="102"/>
      <c r="AB360" s="102"/>
      <c r="AC360" s="102"/>
      <c r="AD360" s="102"/>
      <c r="AE360" s="102"/>
      <c r="AF360" s="102"/>
      <c r="AG360" s="102"/>
      <c r="AH360" s="102"/>
      <c r="AI360" s="102"/>
      <c r="AJ360" s="906"/>
      <c r="AK360" s="102"/>
      <c r="AL360" s="915"/>
      <c r="AM360" s="915"/>
      <c r="AN360" s="114"/>
      <c r="AO360" s="64"/>
      <c r="AP360" s="64"/>
      <c r="AQ360" s="64"/>
      <c r="AR360" s="916"/>
      <c r="AS360" s="916"/>
      <c r="AT360" s="916"/>
      <c r="AU360" s="917"/>
      <c r="AV360" s="917"/>
      <c r="AW360" s="917"/>
      <c r="AX360" s="918"/>
      <c r="AY360" s="916"/>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917"/>
      <c r="CA360" s="917"/>
      <c r="CB360" s="64"/>
      <c r="CC360" s="919"/>
      <c r="CD360" s="919"/>
      <c r="CE360" s="64"/>
      <c r="CF360" s="528"/>
      <c r="CG360" s="529"/>
      <c r="CH360" s="64"/>
      <c r="CI360" s="64"/>
      <c r="CJ360" s="64"/>
      <c r="CK360" s="64"/>
      <c r="CL360" s="64"/>
      <c r="CM360" s="64"/>
      <c r="CN360" s="64"/>
      <c r="CO360" s="64"/>
      <c r="CP360" s="64"/>
      <c r="CQ360" s="64"/>
      <c r="CR360" s="64"/>
      <c r="CS360" s="64"/>
      <c r="CT360" s="64"/>
      <c r="CU360" s="64"/>
      <c r="CV360" s="64"/>
      <c r="CW360" s="64"/>
      <c r="CX360" s="64"/>
      <c r="CY360" s="1011"/>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c r="FC360" s="64"/>
      <c r="FD360" s="64"/>
      <c r="FE360" s="64"/>
      <c r="FF360" s="64"/>
      <c r="FG360" s="64"/>
      <c r="FH360" s="64"/>
      <c r="FI360" s="64"/>
      <c r="FJ360" s="64"/>
      <c r="FK360" s="64"/>
      <c r="FL360" s="64"/>
      <c r="FM360" s="64"/>
      <c r="FN360" s="64"/>
      <c r="FO360" s="64"/>
      <c r="FP360" s="64"/>
      <c r="FQ360" s="64"/>
      <c r="FR360" s="64"/>
      <c r="FS360" s="64"/>
      <c r="FT360" s="64"/>
      <c r="FU360" s="64"/>
      <c r="FV360" s="64"/>
      <c r="FW360" s="64"/>
      <c r="FX360" s="64"/>
      <c r="FY360" s="64"/>
      <c r="FZ360" s="64"/>
      <c r="GA360" s="64"/>
      <c r="GB360" s="64"/>
      <c r="GC360" s="64"/>
      <c r="GD360" s="64"/>
      <c r="GE360" s="64"/>
      <c r="GF360" s="64"/>
      <c r="GG360" s="64"/>
      <c r="GH360" s="64"/>
      <c r="GI360" s="64"/>
      <c r="GJ360" s="64"/>
      <c r="GK360" s="64"/>
      <c r="GL360" s="64"/>
      <c r="GM360" s="64"/>
      <c r="GN360" s="64"/>
      <c r="GO360" s="64"/>
      <c r="GP360" s="64"/>
      <c r="GQ360" s="64"/>
      <c r="GR360" s="64"/>
      <c r="GS360" s="64"/>
      <c r="GT360" s="64"/>
      <c r="GU360" s="64"/>
      <c r="GV360" s="64"/>
      <c r="GW360" s="64"/>
      <c r="GX360" s="64"/>
      <c r="GY360" s="64"/>
      <c r="GZ360" s="64"/>
      <c r="HA360" s="64"/>
      <c r="HB360" s="64"/>
      <c r="HC360" s="64"/>
      <c r="HD360" s="64"/>
      <c r="HE360" s="64"/>
      <c r="HF360" s="64"/>
      <c r="HG360" s="64"/>
      <c r="HH360" s="64"/>
      <c r="HI360" s="64"/>
      <c r="HJ360" s="64"/>
      <c r="HK360" s="64"/>
      <c r="HL360" s="64"/>
      <c r="HM360" s="64"/>
      <c r="HN360" s="64"/>
      <c r="HO360" s="64"/>
      <c r="HP360" s="64"/>
      <c r="HQ360" s="64"/>
      <c r="HR360" s="64"/>
      <c r="HS360" s="64"/>
      <c r="HT360" s="64"/>
      <c r="HU360" s="64"/>
      <c r="HV360" s="64"/>
      <c r="HW360" s="64"/>
      <c r="HX360" s="64"/>
      <c r="HY360" s="64"/>
      <c r="HZ360" s="64"/>
      <c r="IA360" s="64"/>
      <c r="IB360" s="64"/>
      <c r="IC360" s="64"/>
      <c r="ID360" s="64"/>
      <c r="IE360" s="64"/>
      <c r="IF360" s="64"/>
      <c r="IG360" s="64"/>
      <c r="IH360" s="64"/>
      <c r="II360" s="64"/>
      <c r="IJ360" s="64"/>
      <c r="IK360" s="64"/>
      <c r="IL360" s="64"/>
      <c r="IM360" s="64"/>
      <c r="IN360" s="64"/>
      <c r="IO360" s="64"/>
      <c r="IP360" s="64"/>
      <c r="IQ360" s="64"/>
      <c r="IR360" s="64"/>
      <c r="IS360" s="64"/>
      <c r="IT360" s="64"/>
      <c r="IU360" s="64"/>
      <c r="IV360" s="64"/>
      <c r="IW360" s="64"/>
      <c r="IX360" s="64"/>
      <c r="IY360" s="64"/>
      <c r="IZ360" s="64"/>
      <c r="JA360" s="64"/>
      <c r="JB360" s="64"/>
      <c r="JC360" s="64"/>
      <c r="JD360" s="64"/>
      <c r="JE360" s="64"/>
      <c r="JF360" s="64"/>
      <c r="JG360" s="64"/>
      <c r="JH360" s="64"/>
      <c r="JI360" s="64"/>
    </row>
    <row r="361" spans="1:269" s="920" customFormat="1" x14ac:dyDescent="0.2">
      <c r="A361" s="116"/>
      <c r="B361" s="64"/>
      <c r="C361" s="64"/>
      <c r="D361" s="64"/>
      <c r="E361" s="64"/>
      <c r="F361" s="64"/>
      <c r="G361" s="64"/>
      <c r="H361" s="64"/>
      <c r="I361" s="64"/>
      <c r="J361" s="116"/>
      <c r="K361" s="116"/>
      <c r="L361" s="116"/>
      <c r="M361" s="116"/>
      <c r="N361" s="116"/>
      <c r="O361" s="116"/>
      <c r="P361" s="116"/>
      <c r="Q361" s="102"/>
      <c r="R361" s="102"/>
      <c r="S361" s="102"/>
      <c r="T361" s="102"/>
      <c r="U361" s="913"/>
      <c r="V361" s="114"/>
      <c r="W361" s="805"/>
      <c r="X361" s="805"/>
      <c r="Y361" s="805"/>
      <c r="Z361" s="914"/>
      <c r="AA361" s="102"/>
      <c r="AB361" s="102"/>
      <c r="AC361" s="102"/>
      <c r="AD361" s="102"/>
      <c r="AE361" s="102"/>
      <c r="AF361" s="102"/>
      <c r="AG361" s="102"/>
      <c r="AH361" s="102"/>
      <c r="AI361" s="102"/>
      <c r="AJ361" s="906"/>
      <c r="AK361" s="102"/>
      <c r="AL361" s="915"/>
      <c r="AM361" s="915"/>
      <c r="AN361" s="114"/>
      <c r="AO361" s="64"/>
      <c r="AP361" s="64"/>
      <c r="AQ361" s="64"/>
      <c r="AR361" s="916"/>
      <c r="AS361" s="916"/>
      <c r="AT361" s="916"/>
      <c r="AU361" s="917"/>
      <c r="AV361" s="917"/>
      <c r="AW361" s="917"/>
      <c r="AX361" s="918"/>
      <c r="AY361" s="916"/>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917"/>
      <c r="CA361" s="917"/>
      <c r="CB361" s="64"/>
      <c r="CC361" s="919"/>
      <c r="CD361" s="919"/>
      <c r="CE361" s="64"/>
      <c r="CF361" s="528"/>
      <c r="CG361" s="529"/>
      <c r="CH361" s="64"/>
      <c r="CI361" s="64"/>
      <c r="CJ361" s="64"/>
      <c r="CK361" s="64"/>
      <c r="CL361" s="64"/>
      <c r="CM361" s="64"/>
      <c r="CN361" s="64"/>
      <c r="CO361" s="64"/>
      <c r="CP361" s="64"/>
      <c r="CQ361" s="64"/>
      <c r="CR361" s="64"/>
      <c r="CS361" s="64"/>
      <c r="CT361" s="64"/>
      <c r="CU361" s="64"/>
      <c r="CV361" s="64"/>
      <c r="CW361" s="64"/>
      <c r="CX361" s="64"/>
      <c r="CY361" s="1011"/>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c r="FC361" s="64"/>
      <c r="FD361" s="64"/>
      <c r="FE361" s="64"/>
      <c r="FF361" s="64"/>
      <c r="FG361" s="64"/>
      <c r="FH361" s="64"/>
      <c r="FI361" s="64"/>
      <c r="FJ361" s="64"/>
      <c r="FK361" s="64"/>
      <c r="FL361" s="64"/>
      <c r="FM361" s="64"/>
      <c r="FN361" s="64"/>
      <c r="FO361" s="64"/>
      <c r="FP361" s="64"/>
      <c r="FQ361" s="64"/>
      <c r="FR361" s="64"/>
      <c r="FS361" s="64"/>
      <c r="FT361" s="64"/>
      <c r="FU361" s="64"/>
      <c r="FV361" s="64"/>
      <c r="FW361" s="64"/>
      <c r="FX361" s="64"/>
      <c r="FY361" s="64"/>
      <c r="FZ361" s="64"/>
      <c r="GA361" s="64"/>
      <c r="GB361" s="64"/>
      <c r="GC361" s="64"/>
      <c r="GD361" s="64"/>
      <c r="GE361" s="64"/>
      <c r="GF361" s="64"/>
      <c r="GG361" s="64"/>
      <c r="GH361" s="64"/>
      <c r="GI361" s="64"/>
      <c r="GJ361" s="64"/>
      <c r="GK361" s="64"/>
      <c r="GL361" s="64"/>
      <c r="GM361" s="64"/>
      <c r="GN361" s="64"/>
      <c r="GO361" s="64"/>
      <c r="GP361" s="64"/>
      <c r="GQ361" s="64"/>
      <c r="GR361" s="64"/>
      <c r="GS361" s="64"/>
      <c r="GT361" s="64"/>
      <c r="GU361" s="64"/>
      <c r="GV361" s="64"/>
      <c r="GW361" s="64"/>
      <c r="GX361" s="64"/>
      <c r="GY361" s="64"/>
      <c r="GZ361" s="64"/>
      <c r="HA361" s="64"/>
      <c r="HB361" s="64"/>
      <c r="HC361" s="64"/>
      <c r="HD361" s="64"/>
      <c r="HE361" s="64"/>
      <c r="HF361" s="64"/>
      <c r="HG361" s="64"/>
      <c r="HH361" s="64"/>
      <c r="HI361" s="64"/>
      <c r="HJ361" s="64"/>
      <c r="HK361" s="64"/>
      <c r="HL361" s="64"/>
      <c r="HM361" s="64"/>
      <c r="HN361" s="64"/>
      <c r="HO361" s="64"/>
      <c r="HP361" s="64"/>
      <c r="HQ361" s="64"/>
      <c r="HR361" s="64"/>
      <c r="HS361" s="64"/>
      <c r="HT361" s="64"/>
      <c r="HU361" s="64"/>
      <c r="HV361" s="64"/>
      <c r="HW361" s="64"/>
      <c r="HX361" s="64"/>
      <c r="HY361" s="64"/>
      <c r="HZ361" s="64"/>
      <c r="IA361" s="64"/>
      <c r="IB361" s="64"/>
      <c r="IC361" s="64"/>
      <c r="ID361" s="64"/>
      <c r="IE361" s="64"/>
      <c r="IF361" s="64"/>
      <c r="IG361" s="64"/>
      <c r="IH361" s="64"/>
      <c r="II361" s="64"/>
      <c r="IJ361" s="64"/>
      <c r="IK361" s="64"/>
      <c r="IL361" s="64"/>
      <c r="IM361" s="64"/>
      <c r="IN361" s="64"/>
      <c r="IO361" s="64"/>
      <c r="IP361" s="64"/>
      <c r="IQ361" s="64"/>
      <c r="IR361" s="64"/>
      <c r="IS361" s="64"/>
      <c r="IT361" s="64"/>
      <c r="IU361" s="64"/>
      <c r="IV361" s="64"/>
      <c r="IW361" s="64"/>
      <c r="IX361" s="64"/>
      <c r="IY361" s="64"/>
      <c r="IZ361" s="64"/>
      <c r="JA361" s="64"/>
      <c r="JB361" s="64"/>
      <c r="JC361" s="64"/>
      <c r="JD361" s="64"/>
      <c r="JE361" s="64"/>
      <c r="JF361" s="64"/>
      <c r="JG361" s="64"/>
      <c r="JH361" s="64"/>
      <c r="JI361" s="64"/>
    </row>
    <row r="362" spans="1:269" s="920" customFormat="1" x14ac:dyDescent="0.2">
      <c r="A362" s="116"/>
      <c r="B362" s="64"/>
      <c r="C362" s="64"/>
      <c r="D362" s="64"/>
      <c r="E362" s="64"/>
      <c r="F362" s="64"/>
      <c r="G362" s="64"/>
      <c r="H362" s="64"/>
      <c r="I362" s="64"/>
      <c r="J362" s="116"/>
      <c r="K362" s="116"/>
      <c r="L362" s="116"/>
      <c r="M362" s="116"/>
      <c r="N362" s="116"/>
      <c r="O362" s="116"/>
      <c r="P362" s="116"/>
      <c r="Q362" s="102"/>
      <c r="R362" s="102"/>
      <c r="S362" s="102"/>
      <c r="T362" s="102"/>
      <c r="U362" s="913"/>
      <c r="V362" s="114"/>
      <c r="W362" s="805"/>
      <c r="X362" s="805"/>
      <c r="Y362" s="805"/>
      <c r="Z362" s="914"/>
      <c r="AA362" s="102"/>
      <c r="AB362" s="102"/>
      <c r="AC362" s="102"/>
      <c r="AD362" s="102"/>
      <c r="AE362" s="102"/>
      <c r="AF362" s="102"/>
      <c r="AG362" s="102"/>
      <c r="AH362" s="102"/>
      <c r="AI362" s="102"/>
      <c r="AJ362" s="906"/>
      <c r="AK362" s="102"/>
      <c r="AL362" s="915"/>
      <c r="AM362" s="915"/>
      <c r="AN362" s="114"/>
      <c r="AO362" s="64"/>
      <c r="AP362" s="64"/>
      <c r="AQ362" s="64"/>
      <c r="AR362" s="916"/>
      <c r="AS362" s="916"/>
      <c r="AT362" s="916"/>
      <c r="AU362" s="917"/>
      <c r="AV362" s="917"/>
      <c r="AW362" s="917"/>
      <c r="AX362" s="918"/>
      <c r="AY362" s="916"/>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917"/>
      <c r="CA362" s="917"/>
      <c r="CB362" s="64"/>
      <c r="CC362" s="919"/>
      <c r="CD362" s="919"/>
      <c r="CE362" s="64"/>
      <c r="CF362" s="528"/>
      <c r="CG362" s="529"/>
      <c r="CH362" s="64"/>
      <c r="CI362" s="64"/>
      <c r="CJ362" s="64"/>
      <c r="CK362" s="64"/>
      <c r="CL362" s="64"/>
      <c r="CM362" s="64"/>
      <c r="CN362" s="64"/>
      <c r="CO362" s="64"/>
      <c r="CP362" s="64"/>
      <c r="CQ362" s="64"/>
      <c r="CR362" s="64"/>
      <c r="CS362" s="64"/>
      <c r="CT362" s="64"/>
      <c r="CU362" s="64"/>
      <c r="CV362" s="64"/>
      <c r="CW362" s="64"/>
      <c r="CX362" s="64"/>
      <c r="CY362" s="1011"/>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c r="FC362" s="64"/>
      <c r="FD362" s="64"/>
      <c r="FE362" s="64"/>
      <c r="FF362" s="64"/>
      <c r="FG362" s="64"/>
      <c r="FH362" s="64"/>
      <c r="FI362" s="64"/>
      <c r="FJ362" s="64"/>
      <c r="FK362" s="64"/>
      <c r="FL362" s="64"/>
      <c r="FM362" s="64"/>
      <c r="FN362" s="64"/>
      <c r="FO362" s="64"/>
      <c r="FP362" s="64"/>
      <c r="FQ362" s="64"/>
      <c r="FR362" s="64"/>
      <c r="FS362" s="64"/>
      <c r="FT362" s="64"/>
      <c r="FU362" s="64"/>
      <c r="FV362" s="64"/>
      <c r="FW362" s="64"/>
      <c r="FX362" s="64"/>
      <c r="FY362" s="64"/>
      <c r="FZ362" s="64"/>
      <c r="GA362" s="64"/>
      <c r="GB362" s="64"/>
      <c r="GC362" s="64"/>
      <c r="GD362" s="64"/>
      <c r="GE362" s="64"/>
      <c r="GF362" s="64"/>
      <c r="GG362" s="64"/>
      <c r="GH362" s="64"/>
      <c r="GI362" s="64"/>
      <c r="GJ362" s="64"/>
      <c r="GK362" s="64"/>
      <c r="GL362" s="64"/>
      <c r="GM362" s="64"/>
      <c r="GN362" s="64"/>
      <c r="GO362" s="64"/>
      <c r="GP362" s="64"/>
      <c r="GQ362" s="64"/>
      <c r="GR362" s="64"/>
      <c r="GS362" s="64"/>
      <c r="GT362" s="64"/>
      <c r="GU362" s="64"/>
      <c r="GV362" s="64"/>
      <c r="GW362" s="64"/>
      <c r="GX362" s="64"/>
      <c r="GY362" s="64"/>
      <c r="GZ362" s="64"/>
      <c r="HA362" s="64"/>
      <c r="HB362" s="64"/>
      <c r="HC362" s="64"/>
      <c r="HD362" s="64"/>
      <c r="HE362" s="64"/>
      <c r="HF362" s="64"/>
      <c r="HG362" s="64"/>
      <c r="HH362" s="64"/>
      <c r="HI362" s="64"/>
      <c r="HJ362" s="64"/>
      <c r="HK362" s="64"/>
      <c r="HL362" s="64"/>
      <c r="HM362" s="64"/>
      <c r="HN362" s="64"/>
      <c r="HO362" s="64"/>
      <c r="HP362" s="64"/>
      <c r="HQ362" s="64"/>
      <c r="HR362" s="64"/>
      <c r="HS362" s="64"/>
      <c r="HT362" s="64"/>
      <c r="HU362" s="64"/>
      <c r="HV362" s="64"/>
      <c r="HW362" s="64"/>
      <c r="HX362" s="64"/>
      <c r="HY362" s="64"/>
      <c r="HZ362" s="64"/>
      <c r="IA362" s="64"/>
      <c r="IB362" s="64"/>
      <c r="IC362" s="64"/>
      <c r="ID362" s="64"/>
      <c r="IE362" s="64"/>
      <c r="IF362" s="64"/>
      <c r="IG362" s="64"/>
      <c r="IH362" s="64"/>
      <c r="II362" s="64"/>
      <c r="IJ362" s="64"/>
      <c r="IK362" s="64"/>
      <c r="IL362" s="64"/>
      <c r="IM362" s="64"/>
      <c r="IN362" s="64"/>
      <c r="IO362" s="64"/>
      <c r="IP362" s="64"/>
      <c r="IQ362" s="64"/>
      <c r="IR362" s="64"/>
      <c r="IS362" s="64"/>
      <c r="IT362" s="64"/>
      <c r="IU362" s="64"/>
      <c r="IV362" s="64"/>
      <c r="IW362" s="64"/>
      <c r="IX362" s="64"/>
      <c r="IY362" s="64"/>
      <c r="IZ362" s="64"/>
      <c r="JA362" s="64"/>
      <c r="JB362" s="64"/>
      <c r="JC362" s="64"/>
      <c r="JD362" s="64"/>
      <c r="JE362" s="64"/>
      <c r="JF362" s="64"/>
      <c r="JG362" s="64"/>
      <c r="JH362" s="64"/>
      <c r="JI362" s="64"/>
    </row>
    <row r="363" spans="1:269" s="920" customFormat="1" x14ac:dyDescent="0.2">
      <c r="A363" s="116"/>
      <c r="B363" s="64"/>
      <c r="C363" s="64"/>
      <c r="D363" s="64"/>
      <c r="E363" s="64"/>
      <c r="F363" s="64"/>
      <c r="G363" s="64"/>
      <c r="H363" s="64"/>
      <c r="I363" s="64"/>
      <c r="J363" s="116"/>
      <c r="K363" s="116"/>
      <c r="L363" s="116"/>
      <c r="M363" s="116"/>
      <c r="N363" s="116"/>
      <c r="O363" s="116"/>
      <c r="P363" s="116"/>
      <c r="Q363" s="102"/>
      <c r="R363" s="102"/>
      <c r="S363" s="102"/>
      <c r="T363" s="102"/>
      <c r="U363" s="913"/>
      <c r="V363" s="114"/>
      <c r="W363" s="805"/>
      <c r="X363" s="805"/>
      <c r="Y363" s="805"/>
      <c r="Z363" s="914"/>
      <c r="AA363" s="102"/>
      <c r="AB363" s="102"/>
      <c r="AC363" s="102"/>
      <c r="AD363" s="102"/>
      <c r="AE363" s="102"/>
      <c r="AF363" s="102"/>
      <c r="AG363" s="102"/>
      <c r="AH363" s="102"/>
      <c r="AI363" s="102"/>
      <c r="AJ363" s="906"/>
      <c r="AK363" s="102"/>
      <c r="AL363" s="915"/>
      <c r="AM363" s="915"/>
      <c r="AN363" s="114"/>
      <c r="AO363" s="64"/>
      <c r="AP363" s="64"/>
      <c r="AQ363" s="64"/>
      <c r="AR363" s="916"/>
      <c r="AS363" s="916"/>
      <c r="AT363" s="916"/>
      <c r="AU363" s="917"/>
      <c r="AV363" s="917"/>
      <c r="AW363" s="917"/>
      <c r="AX363" s="918"/>
      <c r="AY363" s="916"/>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917"/>
      <c r="CA363" s="917"/>
      <c r="CB363" s="64"/>
      <c r="CC363" s="919"/>
      <c r="CD363" s="919"/>
      <c r="CE363" s="64"/>
      <c r="CF363" s="528"/>
      <c r="CG363" s="529"/>
      <c r="CH363" s="64"/>
      <c r="CI363" s="64"/>
      <c r="CJ363" s="64"/>
      <c r="CK363" s="64"/>
      <c r="CL363" s="64"/>
      <c r="CM363" s="64"/>
      <c r="CN363" s="64"/>
      <c r="CO363" s="64"/>
      <c r="CP363" s="64"/>
      <c r="CQ363" s="64"/>
      <c r="CR363" s="64"/>
      <c r="CS363" s="64"/>
      <c r="CT363" s="64"/>
      <c r="CU363" s="64"/>
      <c r="CV363" s="64"/>
      <c r="CW363" s="64"/>
      <c r="CX363" s="64"/>
      <c r="CY363" s="1011"/>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c r="FC363" s="64"/>
      <c r="FD363" s="64"/>
      <c r="FE363" s="64"/>
      <c r="FF363" s="64"/>
      <c r="FG363" s="64"/>
      <c r="FH363" s="64"/>
      <c r="FI363" s="64"/>
      <c r="FJ363" s="64"/>
      <c r="FK363" s="64"/>
      <c r="FL363" s="64"/>
      <c r="FM363" s="64"/>
      <c r="FN363" s="64"/>
      <c r="FO363" s="64"/>
      <c r="FP363" s="64"/>
      <c r="FQ363" s="64"/>
      <c r="FR363" s="64"/>
      <c r="FS363" s="64"/>
      <c r="FT363" s="64"/>
      <c r="FU363" s="64"/>
      <c r="FV363" s="64"/>
      <c r="FW363" s="64"/>
      <c r="FX363" s="64"/>
      <c r="FY363" s="64"/>
      <c r="FZ363" s="64"/>
      <c r="GA363" s="64"/>
      <c r="GB363" s="64"/>
      <c r="GC363" s="64"/>
      <c r="GD363" s="64"/>
      <c r="GE363" s="64"/>
      <c r="GF363" s="64"/>
      <c r="GG363" s="64"/>
      <c r="GH363" s="64"/>
      <c r="GI363" s="64"/>
      <c r="GJ363" s="64"/>
      <c r="GK363" s="64"/>
      <c r="GL363" s="64"/>
      <c r="GM363" s="64"/>
      <c r="GN363" s="64"/>
      <c r="GO363" s="64"/>
      <c r="GP363" s="64"/>
      <c r="GQ363" s="64"/>
      <c r="GR363" s="64"/>
      <c r="GS363" s="64"/>
      <c r="GT363" s="64"/>
      <c r="GU363" s="64"/>
      <c r="GV363" s="64"/>
      <c r="GW363" s="64"/>
      <c r="GX363" s="64"/>
      <c r="GY363" s="64"/>
      <c r="GZ363" s="64"/>
      <c r="HA363" s="64"/>
      <c r="HB363" s="64"/>
      <c r="HC363" s="64"/>
      <c r="HD363" s="64"/>
      <c r="HE363" s="64"/>
      <c r="HF363" s="64"/>
      <c r="HG363" s="64"/>
      <c r="HH363" s="64"/>
      <c r="HI363" s="64"/>
      <c r="HJ363" s="64"/>
      <c r="HK363" s="64"/>
      <c r="HL363" s="64"/>
      <c r="HM363" s="64"/>
      <c r="HN363" s="64"/>
      <c r="HO363" s="64"/>
      <c r="HP363" s="64"/>
      <c r="HQ363" s="64"/>
      <c r="HR363" s="64"/>
      <c r="HS363" s="64"/>
      <c r="HT363" s="64"/>
      <c r="HU363" s="64"/>
      <c r="HV363" s="64"/>
      <c r="HW363" s="64"/>
      <c r="HX363" s="64"/>
      <c r="HY363" s="64"/>
      <c r="HZ363" s="64"/>
      <c r="IA363" s="64"/>
      <c r="IB363" s="64"/>
      <c r="IC363" s="64"/>
      <c r="ID363" s="64"/>
      <c r="IE363" s="64"/>
      <c r="IF363" s="64"/>
      <c r="IG363" s="64"/>
      <c r="IH363" s="64"/>
      <c r="II363" s="64"/>
      <c r="IJ363" s="64"/>
      <c r="IK363" s="64"/>
      <c r="IL363" s="64"/>
      <c r="IM363" s="64"/>
      <c r="IN363" s="64"/>
      <c r="IO363" s="64"/>
      <c r="IP363" s="64"/>
      <c r="IQ363" s="64"/>
      <c r="IR363" s="64"/>
      <c r="IS363" s="64"/>
      <c r="IT363" s="64"/>
      <c r="IU363" s="64"/>
      <c r="IV363" s="64"/>
      <c r="IW363" s="64"/>
      <c r="IX363" s="64"/>
      <c r="IY363" s="64"/>
      <c r="IZ363" s="64"/>
      <c r="JA363" s="64"/>
      <c r="JB363" s="64"/>
      <c r="JC363" s="64"/>
      <c r="JD363" s="64"/>
      <c r="JE363" s="64"/>
      <c r="JF363" s="64"/>
      <c r="JG363" s="64"/>
      <c r="JH363" s="64"/>
      <c r="JI363" s="64"/>
    </row>
    <row r="364" spans="1:269" s="920" customFormat="1" x14ac:dyDescent="0.2">
      <c r="A364" s="116"/>
      <c r="B364" s="64"/>
      <c r="C364" s="64"/>
      <c r="D364" s="64"/>
      <c r="E364" s="64"/>
      <c r="F364" s="64"/>
      <c r="G364" s="64"/>
      <c r="H364" s="64"/>
      <c r="I364" s="64"/>
      <c r="J364" s="116"/>
      <c r="K364" s="116"/>
      <c r="L364" s="116"/>
      <c r="M364" s="116"/>
      <c r="N364" s="116"/>
      <c r="O364" s="116"/>
      <c r="P364" s="116"/>
      <c r="Q364" s="102"/>
      <c r="R364" s="102"/>
      <c r="S364" s="102"/>
      <c r="T364" s="102"/>
      <c r="U364" s="913"/>
      <c r="V364" s="114"/>
      <c r="W364" s="805"/>
      <c r="X364" s="805"/>
      <c r="Y364" s="805"/>
      <c r="Z364" s="914"/>
      <c r="AA364" s="102"/>
      <c r="AB364" s="102"/>
      <c r="AC364" s="102"/>
      <c r="AD364" s="102"/>
      <c r="AE364" s="102"/>
      <c r="AF364" s="102"/>
      <c r="AG364" s="102"/>
      <c r="AH364" s="102"/>
      <c r="AI364" s="102"/>
      <c r="AJ364" s="906"/>
      <c r="AK364" s="102"/>
      <c r="AL364" s="915"/>
      <c r="AM364" s="915"/>
      <c r="AN364" s="114"/>
      <c r="AO364" s="64"/>
      <c r="AP364" s="64"/>
      <c r="AQ364" s="64"/>
      <c r="AR364" s="916"/>
      <c r="AS364" s="916"/>
      <c r="AT364" s="916"/>
      <c r="AU364" s="917"/>
      <c r="AV364" s="917"/>
      <c r="AW364" s="917"/>
      <c r="AX364" s="918"/>
      <c r="AY364" s="916"/>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917"/>
      <c r="CA364" s="917"/>
      <c r="CB364" s="64"/>
      <c r="CC364" s="919"/>
      <c r="CD364" s="919"/>
      <c r="CE364" s="64"/>
      <c r="CF364" s="528"/>
      <c r="CG364" s="529"/>
      <c r="CH364" s="64"/>
      <c r="CI364" s="64"/>
      <c r="CJ364" s="64"/>
      <c r="CK364" s="64"/>
      <c r="CL364" s="64"/>
      <c r="CM364" s="64"/>
      <c r="CN364" s="64"/>
      <c r="CO364" s="64"/>
      <c r="CP364" s="64"/>
      <c r="CQ364" s="64"/>
      <c r="CR364" s="64"/>
      <c r="CS364" s="64"/>
      <c r="CT364" s="64"/>
      <c r="CU364" s="64"/>
      <c r="CV364" s="64"/>
      <c r="CW364" s="64"/>
      <c r="CX364" s="64"/>
      <c r="CY364" s="1011"/>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c r="FC364" s="64"/>
      <c r="FD364" s="64"/>
      <c r="FE364" s="64"/>
      <c r="FF364" s="64"/>
      <c r="FG364" s="64"/>
      <c r="FH364" s="64"/>
      <c r="FI364" s="64"/>
      <c r="FJ364" s="64"/>
      <c r="FK364" s="64"/>
      <c r="FL364" s="64"/>
      <c r="FM364" s="64"/>
      <c r="FN364" s="64"/>
      <c r="FO364" s="64"/>
      <c r="FP364" s="64"/>
      <c r="FQ364" s="64"/>
      <c r="FR364" s="64"/>
      <c r="FS364" s="64"/>
      <c r="FT364" s="64"/>
      <c r="FU364" s="64"/>
      <c r="FV364" s="64"/>
      <c r="FW364" s="64"/>
      <c r="FX364" s="64"/>
      <c r="FY364" s="64"/>
      <c r="FZ364" s="64"/>
      <c r="GA364" s="64"/>
      <c r="GB364" s="64"/>
      <c r="GC364" s="64"/>
      <c r="GD364" s="64"/>
      <c r="GE364" s="64"/>
      <c r="GF364" s="64"/>
      <c r="GG364" s="64"/>
      <c r="GH364" s="64"/>
      <c r="GI364" s="64"/>
      <c r="GJ364" s="64"/>
      <c r="GK364" s="64"/>
      <c r="GL364" s="64"/>
      <c r="GM364" s="64"/>
      <c r="GN364" s="64"/>
      <c r="GO364" s="64"/>
      <c r="GP364" s="64"/>
      <c r="GQ364" s="64"/>
      <c r="GR364" s="64"/>
      <c r="GS364" s="64"/>
      <c r="GT364" s="64"/>
      <c r="GU364" s="64"/>
      <c r="GV364" s="64"/>
      <c r="GW364" s="64"/>
      <c r="GX364" s="64"/>
      <c r="GY364" s="64"/>
      <c r="GZ364" s="64"/>
      <c r="HA364" s="64"/>
      <c r="HB364" s="64"/>
      <c r="HC364" s="64"/>
      <c r="HD364" s="64"/>
      <c r="HE364" s="64"/>
      <c r="HF364" s="64"/>
      <c r="HG364" s="64"/>
      <c r="HH364" s="64"/>
      <c r="HI364" s="64"/>
      <c r="HJ364" s="64"/>
      <c r="HK364" s="64"/>
      <c r="HL364" s="64"/>
      <c r="HM364" s="64"/>
      <c r="HN364" s="64"/>
      <c r="HO364" s="64"/>
      <c r="HP364" s="64"/>
      <c r="HQ364" s="64"/>
      <c r="HR364" s="64"/>
      <c r="HS364" s="64"/>
      <c r="HT364" s="64"/>
      <c r="HU364" s="64"/>
      <c r="HV364" s="64"/>
      <c r="HW364" s="64"/>
      <c r="HX364" s="64"/>
      <c r="HY364" s="64"/>
      <c r="HZ364" s="64"/>
      <c r="IA364" s="64"/>
      <c r="IB364" s="64"/>
      <c r="IC364" s="64"/>
      <c r="ID364" s="64"/>
      <c r="IE364" s="64"/>
      <c r="IF364" s="64"/>
      <c r="IG364" s="64"/>
      <c r="IH364" s="64"/>
      <c r="II364" s="64"/>
      <c r="IJ364" s="64"/>
      <c r="IK364" s="64"/>
      <c r="IL364" s="64"/>
      <c r="IM364" s="64"/>
      <c r="IN364" s="64"/>
      <c r="IO364" s="64"/>
      <c r="IP364" s="64"/>
      <c r="IQ364" s="64"/>
      <c r="IR364" s="64"/>
      <c r="IS364" s="64"/>
      <c r="IT364" s="64"/>
      <c r="IU364" s="64"/>
      <c r="IV364" s="64"/>
      <c r="IW364" s="64"/>
      <c r="IX364" s="64"/>
      <c r="IY364" s="64"/>
      <c r="IZ364" s="64"/>
      <c r="JA364" s="64"/>
      <c r="JB364" s="64"/>
      <c r="JC364" s="64"/>
      <c r="JD364" s="64"/>
      <c r="JE364" s="64"/>
      <c r="JF364" s="64"/>
      <c r="JG364" s="64"/>
      <c r="JH364" s="64"/>
      <c r="JI364" s="64"/>
    </row>
    <row r="365" spans="1:269" s="920" customFormat="1" x14ac:dyDescent="0.2">
      <c r="A365" s="116"/>
      <c r="B365" s="64"/>
      <c r="C365" s="64"/>
      <c r="D365" s="64"/>
      <c r="E365" s="64"/>
      <c r="F365" s="64"/>
      <c r="G365" s="64"/>
      <c r="H365" s="64"/>
      <c r="I365" s="64"/>
      <c r="J365" s="116"/>
      <c r="K365" s="116"/>
      <c r="L365" s="116"/>
      <c r="M365" s="116"/>
      <c r="N365" s="116"/>
      <c r="O365" s="116"/>
      <c r="P365" s="116"/>
      <c r="Q365" s="102"/>
      <c r="R365" s="102"/>
      <c r="S365" s="102"/>
      <c r="T365" s="102"/>
      <c r="U365" s="913"/>
      <c r="V365" s="114"/>
      <c r="W365" s="805"/>
      <c r="X365" s="805"/>
      <c r="Y365" s="805"/>
      <c r="Z365" s="914"/>
      <c r="AA365" s="102"/>
      <c r="AB365" s="102"/>
      <c r="AC365" s="102"/>
      <c r="AD365" s="102"/>
      <c r="AE365" s="102"/>
      <c r="AF365" s="102"/>
      <c r="AG365" s="102"/>
      <c r="AH365" s="102"/>
      <c r="AI365" s="102"/>
      <c r="AJ365" s="906"/>
      <c r="AK365" s="102"/>
      <c r="AL365" s="915"/>
      <c r="AM365" s="915"/>
      <c r="AN365" s="114"/>
      <c r="AO365" s="64"/>
      <c r="AP365" s="64"/>
      <c r="AQ365" s="64"/>
      <c r="AR365" s="916"/>
      <c r="AS365" s="916"/>
      <c r="AT365" s="916"/>
      <c r="AU365" s="917"/>
      <c r="AV365" s="917"/>
      <c r="AW365" s="917"/>
      <c r="AX365" s="918"/>
      <c r="AY365" s="916"/>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917"/>
      <c r="CA365" s="917"/>
      <c r="CB365" s="64"/>
      <c r="CC365" s="919"/>
      <c r="CD365" s="919"/>
      <c r="CE365" s="64"/>
      <c r="CF365" s="528"/>
      <c r="CG365" s="529"/>
      <c r="CH365" s="64"/>
      <c r="CI365" s="64"/>
      <c r="CJ365" s="64"/>
      <c r="CK365" s="64"/>
      <c r="CL365" s="64"/>
      <c r="CM365" s="64"/>
      <c r="CN365" s="64"/>
      <c r="CO365" s="64"/>
      <c r="CP365" s="64"/>
      <c r="CQ365" s="64"/>
      <c r="CR365" s="64"/>
      <c r="CS365" s="64"/>
      <c r="CT365" s="64"/>
      <c r="CU365" s="64"/>
      <c r="CV365" s="64"/>
      <c r="CW365" s="64"/>
      <c r="CX365" s="64"/>
      <c r="CY365" s="1011"/>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c r="FC365" s="64"/>
      <c r="FD365" s="64"/>
      <c r="FE365" s="64"/>
      <c r="FF365" s="64"/>
      <c r="FG365" s="64"/>
      <c r="FH365" s="64"/>
      <c r="FI365" s="64"/>
      <c r="FJ365" s="64"/>
      <c r="FK365" s="64"/>
      <c r="FL365" s="64"/>
      <c r="FM365" s="64"/>
      <c r="FN365" s="64"/>
      <c r="FO365" s="64"/>
      <c r="FP365" s="64"/>
      <c r="FQ365" s="64"/>
      <c r="FR365" s="64"/>
      <c r="FS365" s="64"/>
      <c r="FT365" s="64"/>
      <c r="FU365" s="64"/>
      <c r="FV365" s="64"/>
      <c r="FW365" s="64"/>
      <c r="FX365" s="64"/>
      <c r="FY365" s="64"/>
      <c r="FZ365" s="64"/>
      <c r="GA365" s="64"/>
      <c r="GB365" s="64"/>
      <c r="GC365" s="64"/>
      <c r="GD365" s="64"/>
      <c r="GE365" s="64"/>
      <c r="GF365" s="64"/>
      <c r="GG365" s="64"/>
      <c r="GH365" s="64"/>
      <c r="GI365" s="64"/>
      <c r="GJ365" s="64"/>
      <c r="GK365" s="64"/>
      <c r="GL365" s="64"/>
      <c r="GM365" s="64"/>
      <c r="GN365" s="64"/>
      <c r="GO365" s="64"/>
      <c r="GP365" s="64"/>
      <c r="GQ365" s="64"/>
      <c r="GR365" s="64"/>
      <c r="GS365" s="64"/>
      <c r="GT365" s="64"/>
      <c r="GU365" s="64"/>
      <c r="GV365" s="64"/>
      <c r="GW365" s="64"/>
      <c r="GX365" s="64"/>
      <c r="GY365" s="64"/>
      <c r="GZ365" s="64"/>
      <c r="HA365" s="64"/>
      <c r="HB365" s="64"/>
      <c r="HC365" s="64"/>
      <c r="HD365" s="64"/>
      <c r="HE365" s="64"/>
      <c r="HF365" s="64"/>
      <c r="HG365" s="64"/>
      <c r="HH365" s="64"/>
      <c r="HI365" s="64"/>
      <c r="HJ365" s="64"/>
      <c r="HK365" s="64"/>
      <c r="HL365" s="64"/>
      <c r="HM365" s="64"/>
      <c r="HN365" s="64"/>
      <c r="HO365" s="64"/>
      <c r="HP365" s="64"/>
      <c r="HQ365" s="64"/>
      <c r="HR365" s="64"/>
      <c r="HS365" s="64"/>
      <c r="HT365" s="64"/>
      <c r="HU365" s="64"/>
      <c r="HV365" s="64"/>
      <c r="HW365" s="64"/>
      <c r="HX365" s="64"/>
      <c r="HY365" s="64"/>
      <c r="HZ365" s="64"/>
      <c r="IA365" s="64"/>
      <c r="IB365" s="64"/>
      <c r="IC365" s="64"/>
      <c r="ID365" s="64"/>
      <c r="IE365" s="64"/>
      <c r="IF365" s="64"/>
      <c r="IG365" s="64"/>
      <c r="IH365" s="64"/>
      <c r="II365" s="64"/>
      <c r="IJ365" s="64"/>
      <c r="IK365" s="64"/>
      <c r="IL365" s="64"/>
      <c r="IM365" s="64"/>
      <c r="IN365" s="64"/>
      <c r="IO365" s="64"/>
      <c r="IP365" s="64"/>
      <c r="IQ365" s="64"/>
      <c r="IR365" s="64"/>
      <c r="IS365" s="64"/>
      <c r="IT365" s="64"/>
      <c r="IU365" s="64"/>
      <c r="IV365" s="64"/>
      <c r="IW365" s="64"/>
      <c r="IX365" s="64"/>
      <c r="IY365" s="64"/>
      <c r="IZ365" s="64"/>
      <c r="JA365" s="64"/>
      <c r="JB365" s="64"/>
      <c r="JC365" s="64"/>
      <c r="JD365" s="64"/>
      <c r="JE365" s="64"/>
      <c r="JF365" s="64"/>
      <c r="JG365" s="64"/>
      <c r="JH365" s="64"/>
      <c r="JI365" s="64"/>
    </row>
    <row r="366" spans="1:269" s="920" customFormat="1" x14ac:dyDescent="0.2">
      <c r="A366" s="116"/>
      <c r="B366" s="64"/>
      <c r="C366" s="64"/>
      <c r="D366" s="64"/>
      <c r="E366" s="64"/>
      <c r="F366" s="64"/>
      <c r="G366" s="64"/>
      <c r="H366" s="64"/>
      <c r="I366" s="64"/>
      <c r="J366" s="116"/>
      <c r="K366" s="116"/>
      <c r="L366" s="116"/>
      <c r="M366" s="116"/>
      <c r="N366" s="116"/>
      <c r="O366" s="116"/>
      <c r="P366" s="116"/>
      <c r="Q366" s="102"/>
      <c r="R366" s="102"/>
      <c r="S366" s="102"/>
      <c r="T366" s="102"/>
      <c r="U366" s="913"/>
      <c r="V366" s="114"/>
      <c r="W366" s="805"/>
      <c r="X366" s="805"/>
      <c r="Y366" s="805"/>
      <c r="Z366" s="914"/>
      <c r="AA366" s="102"/>
      <c r="AB366" s="102"/>
      <c r="AC366" s="102"/>
      <c r="AD366" s="102"/>
      <c r="AE366" s="102"/>
      <c r="AF366" s="102"/>
      <c r="AG366" s="102"/>
      <c r="AH366" s="102"/>
      <c r="AI366" s="102"/>
      <c r="AJ366" s="906"/>
      <c r="AK366" s="102"/>
      <c r="AL366" s="915"/>
      <c r="AM366" s="915"/>
      <c r="AN366" s="114"/>
      <c r="AO366" s="64"/>
      <c r="AP366" s="64"/>
      <c r="AQ366" s="64"/>
      <c r="AR366" s="916"/>
      <c r="AS366" s="916"/>
      <c r="AT366" s="916"/>
      <c r="AU366" s="917"/>
      <c r="AV366" s="917"/>
      <c r="AW366" s="917"/>
      <c r="AX366" s="918"/>
      <c r="AY366" s="916"/>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917"/>
      <c r="CA366" s="917"/>
      <c r="CB366" s="64"/>
      <c r="CC366" s="919"/>
      <c r="CD366" s="919"/>
      <c r="CE366" s="64"/>
      <c r="CF366" s="528"/>
      <c r="CG366" s="529"/>
      <c r="CH366" s="64"/>
      <c r="CI366" s="64"/>
      <c r="CJ366" s="64"/>
      <c r="CK366" s="64"/>
      <c r="CL366" s="64"/>
      <c r="CM366" s="64"/>
      <c r="CN366" s="64"/>
      <c r="CO366" s="64"/>
      <c r="CP366" s="64"/>
      <c r="CQ366" s="64"/>
      <c r="CR366" s="64"/>
      <c r="CS366" s="64"/>
      <c r="CT366" s="64"/>
      <c r="CU366" s="64"/>
      <c r="CV366" s="64"/>
      <c r="CW366" s="64"/>
      <c r="CX366" s="64"/>
      <c r="CY366" s="1011"/>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c r="FC366" s="64"/>
      <c r="FD366" s="64"/>
      <c r="FE366" s="64"/>
      <c r="FF366" s="64"/>
      <c r="FG366" s="64"/>
      <c r="FH366" s="64"/>
      <c r="FI366" s="64"/>
      <c r="FJ366" s="64"/>
      <c r="FK366" s="64"/>
      <c r="FL366" s="64"/>
      <c r="FM366" s="64"/>
      <c r="FN366" s="64"/>
      <c r="FO366" s="64"/>
      <c r="FP366" s="64"/>
      <c r="FQ366" s="64"/>
      <c r="FR366" s="64"/>
      <c r="FS366" s="64"/>
      <c r="FT366" s="64"/>
      <c r="FU366" s="64"/>
      <c r="FV366" s="64"/>
      <c r="FW366" s="64"/>
      <c r="FX366" s="64"/>
      <c r="FY366" s="64"/>
      <c r="FZ366" s="64"/>
      <c r="GA366" s="64"/>
      <c r="GB366" s="64"/>
      <c r="GC366" s="64"/>
      <c r="GD366" s="64"/>
      <c r="GE366" s="64"/>
      <c r="GF366" s="64"/>
      <c r="GG366" s="64"/>
      <c r="GH366" s="64"/>
      <c r="GI366" s="64"/>
      <c r="GJ366" s="64"/>
      <c r="GK366" s="64"/>
      <c r="GL366" s="64"/>
      <c r="GM366" s="64"/>
      <c r="GN366" s="64"/>
      <c r="GO366" s="64"/>
      <c r="GP366" s="64"/>
      <c r="GQ366" s="64"/>
      <c r="GR366" s="64"/>
      <c r="GS366" s="64"/>
      <c r="GT366" s="64"/>
      <c r="GU366" s="64"/>
      <c r="GV366" s="64"/>
      <c r="GW366" s="64"/>
      <c r="GX366" s="64"/>
      <c r="GY366" s="64"/>
      <c r="GZ366" s="64"/>
      <c r="HA366" s="64"/>
      <c r="HB366" s="64"/>
      <c r="HC366" s="64"/>
      <c r="HD366" s="64"/>
      <c r="HE366" s="64"/>
      <c r="HF366" s="64"/>
      <c r="HG366" s="64"/>
      <c r="HH366" s="64"/>
      <c r="HI366" s="64"/>
      <c r="HJ366" s="64"/>
      <c r="HK366" s="64"/>
      <c r="HL366" s="64"/>
      <c r="HM366" s="64"/>
      <c r="HN366" s="64"/>
      <c r="HO366" s="64"/>
      <c r="HP366" s="64"/>
      <c r="HQ366" s="64"/>
      <c r="HR366" s="64"/>
      <c r="HS366" s="64"/>
      <c r="HT366" s="64"/>
      <c r="HU366" s="64"/>
      <c r="HV366" s="64"/>
      <c r="HW366" s="64"/>
      <c r="HX366" s="64"/>
      <c r="HY366" s="64"/>
      <c r="HZ366" s="64"/>
      <c r="IA366" s="64"/>
      <c r="IB366" s="64"/>
      <c r="IC366" s="64"/>
      <c r="ID366" s="64"/>
      <c r="IE366" s="64"/>
      <c r="IF366" s="64"/>
      <c r="IG366" s="64"/>
      <c r="IH366" s="64"/>
      <c r="II366" s="64"/>
      <c r="IJ366" s="64"/>
      <c r="IK366" s="64"/>
      <c r="IL366" s="64"/>
      <c r="IM366" s="64"/>
      <c r="IN366" s="64"/>
      <c r="IO366" s="64"/>
      <c r="IP366" s="64"/>
      <c r="IQ366" s="64"/>
      <c r="IR366" s="64"/>
      <c r="IS366" s="64"/>
      <c r="IT366" s="64"/>
      <c r="IU366" s="64"/>
      <c r="IV366" s="64"/>
      <c r="IW366" s="64"/>
      <c r="IX366" s="64"/>
      <c r="IY366" s="64"/>
      <c r="IZ366" s="64"/>
      <c r="JA366" s="64"/>
      <c r="JB366" s="64"/>
      <c r="JC366" s="64"/>
      <c r="JD366" s="64"/>
      <c r="JE366" s="64"/>
      <c r="JF366" s="64"/>
      <c r="JG366" s="64"/>
      <c r="JH366" s="64"/>
      <c r="JI366" s="64"/>
    </row>
    <row r="367" spans="1:269" s="920" customFormat="1" x14ac:dyDescent="0.2">
      <c r="A367" s="116"/>
      <c r="B367" s="64"/>
      <c r="C367" s="64"/>
      <c r="D367" s="64"/>
      <c r="E367" s="64"/>
      <c r="F367" s="64"/>
      <c r="G367" s="64"/>
      <c r="H367" s="64"/>
      <c r="I367" s="64"/>
      <c r="J367" s="116"/>
      <c r="K367" s="116"/>
      <c r="L367" s="116"/>
      <c r="M367" s="116"/>
      <c r="N367" s="116"/>
      <c r="O367" s="116"/>
      <c r="P367" s="116"/>
      <c r="Q367" s="102"/>
      <c r="R367" s="102"/>
      <c r="S367" s="102"/>
      <c r="T367" s="102"/>
      <c r="U367" s="913"/>
      <c r="V367" s="114"/>
      <c r="W367" s="805"/>
      <c r="X367" s="805"/>
      <c r="Y367" s="805"/>
      <c r="Z367" s="914"/>
      <c r="AA367" s="102"/>
      <c r="AB367" s="102"/>
      <c r="AC367" s="102"/>
      <c r="AD367" s="102"/>
      <c r="AE367" s="102"/>
      <c r="AF367" s="102"/>
      <c r="AG367" s="102"/>
      <c r="AH367" s="102"/>
      <c r="AI367" s="102"/>
      <c r="AJ367" s="906"/>
      <c r="AK367" s="102"/>
      <c r="AL367" s="915"/>
      <c r="AM367" s="915"/>
      <c r="AN367" s="114"/>
      <c r="AO367" s="64"/>
      <c r="AP367" s="64"/>
      <c r="AQ367" s="64"/>
      <c r="AR367" s="916"/>
      <c r="AS367" s="916"/>
      <c r="AT367" s="916"/>
      <c r="AU367" s="917"/>
      <c r="AV367" s="917"/>
      <c r="AW367" s="917"/>
      <c r="AX367" s="918"/>
      <c r="AY367" s="916"/>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917"/>
      <c r="CA367" s="917"/>
      <c r="CB367" s="64"/>
      <c r="CC367" s="919"/>
      <c r="CD367" s="919"/>
      <c r="CE367" s="64"/>
      <c r="CF367" s="528"/>
      <c r="CG367" s="529"/>
      <c r="CH367" s="64"/>
      <c r="CI367" s="64"/>
      <c r="CJ367" s="64"/>
      <c r="CK367" s="64"/>
      <c r="CL367" s="64"/>
      <c r="CM367" s="64"/>
      <c r="CN367" s="64"/>
      <c r="CO367" s="64"/>
      <c r="CP367" s="64"/>
      <c r="CQ367" s="64"/>
      <c r="CR367" s="64"/>
      <c r="CS367" s="64"/>
      <c r="CT367" s="64"/>
      <c r="CU367" s="64"/>
      <c r="CV367" s="64"/>
      <c r="CW367" s="64"/>
      <c r="CX367" s="64"/>
      <c r="CY367" s="1011"/>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c r="FC367" s="64"/>
      <c r="FD367" s="64"/>
      <c r="FE367" s="64"/>
      <c r="FF367" s="64"/>
      <c r="FG367" s="64"/>
      <c r="FH367" s="64"/>
      <c r="FI367" s="64"/>
      <c r="FJ367" s="64"/>
      <c r="FK367" s="64"/>
      <c r="FL367" s="64"/>
      <c r="FM367" s="64"/>
      <c r="FN367" s="64"/>
      <c r="FO367" s="64"/>
      <c r="FP367" s="64"/>
      <c r="FQ367" s="64"/>
      <c r="FR367" s="64"/>
      <c r="FS367" s="64"/>
      <c r="FT367" s="64"/>
      <c r="FU367" s="64"/>
      <c r="FV367" s="64"/>
      <c r="FW367" s="64"/>
      <c r="FX367" s="64"/>
      <c r="FY367" s="64"/>
      <c r="FZ367" s="64"/>
      <c r="GA367" s="64"/>
      <c r="GB367" s="64"/>
      <c r="GC367" s="64"/>
      <c r="GD367" s="64"/>
      <c r="GE367" s="64"/>
      <c r="GF367" s="64"/>
      <c r="GG367" s="64"/>
      <c r="GH367" s="64"/>
      <c r="GI367" s="64"/>
      <c r="GJ367" s="64"/>
      <c r="GK367" s="64"/>
      <c r="GL367" s="64"/>
      <c r="GM367" s="64"/>
      <c r="GN367" s="64"/>
      <c r="GO367" s="64"/>
      <c r="GP367" s="64"/>
      <c r="GQ367" s="64"/>
      <c r="GR367" s="64"/>
      <c r="GS367" s="64"/>
      <c r="GT367" s="64"/>
      <c r="GU367" s="64"/>
      <c r="GV367" s="64"/>
      <c r="GW367" s="64"/>
      <c r="GX367" s="64"/>
      <c r="GY367" s="64"/>
      <c r="GZ367" s="64"/>
      <c r="HA367" s="64"/>
      <c r="HB367" s="64"/>
      <c r="HC367" s="64"/>
      <c r="HD367" s="64"/>
      <c r="HE367" s="64"/>
      <c r="HF367" s="64"/>
      <c r="HG367" s="64"/>
      <c r="HH367" s="64"/>
      <c r="HI367" s="64"/>
      <c r="HJ367" s="64"/>
      <c r="HK367" s="64"/>
      <c r="HL367" s="64"/>
      <c r="HM367" s="64"/>
      <c r="HN367" s="64"/>
      <c r="HO367" s="64"/>
      <c r="HP367" s="64"/>
      <c r="HQ367" s="64"/>
      <c r="HR367" s="64"/>
      <c r="HS367" s="64"/>
      <c r="HT367" s="64"/>
      <c r="HU367" s="64"/>
      <c r="HV367" s="64"/>
      <c r="HW367" s="64"/>
      <c r="HX367" s="64"/>
      <c r="HY367" s="64"/>
      <c r="HZ367" s="64"/>
      <c r="IA367" s="64"/>
      <c r="IB367" s="64"/>
      <c r="IC367" s="64"/>
      <c r="ID367" s="64"/>
      <c r="IE367" s="64"/>
      <c r="IF367" s="64"/>
      <c r="IG367" s="64"/>
      <c r="IH367" s="64"/>
      <c r="II367" s="64"/>
      <c r="IJ367" s="64"/>
      <c r="IK367" s="64"/>
      <c r="IL367" s="64"/>
      <c r="IM367" s="64"/>
      <c r="IN367" s="64"/>
      <c r="IO367" s="64"/>
      <c r="IP367" s="64"/>
      <c r="IQ367" s="64"/>
      <c r="IR367" s="64"/>
      <c r="IS367" s="64"/>
      <c r="IT367" s="64"/>
      <c r="IU367" s="64"/>
      <c r="IV367" s="64"/>
      <c r="IW367" s="64"/>
      <c r="IX367" s="64"/>
      <c r="IY367" s="64"/>
      <c r="IZ367" s="64"/>
      <c r="JA367" s="64"/>
      <c r="JB367" s="64"/>
      <c r="JC367" s="64"/>
      <c r="JD367" s="64"/>
      <c r="JE367" s="64"/>
      <c r="JF367" s="64"/>
      <c r="JG367" s="64"/>
      <c r="JH367" s="64"/>
      <c r="JI367" s="64"/>
    </row>
    <row r="368" spans="1:269" s="920" customFormat="1" x14ac:dyDescent="0.2">
      <c r="A368" s="116"/>
      <c r="B368" s="64"/>
      <c r="C368" s="64"/>
      <c r="D368" s="64"/>
      <c r="E368" s="64"/>
      <c r="F368" s="64"/>
      <c r="G368" s="64"/>
      <c r="H368" s="64"/>
      <c r="I368" s="64"/>
      <c r="J368" s="116"/>
      <c r="K368" s="116"/>
      <c r="L368" s="116"/>
      <c r="M368" s="116"/>
      <c r="N368" s="116"/>
      <c r="O368" s="116"/>
      <c r="P368" s="116"/>
      <c r="Q368" s="102"/>
      <c r="R368" s="102"/>
      <c r="S368" s="102"/>
      <c r="T368" s="102"/>
      <c r="U368" s="913"/>
      <c r="V368" s="114"/>
      <c r="W368" s="805"/>
      <c r="X368" s="805"/>
      <c r="Y368" s="805"/>
      <c r="Z368" s="914"/>
      <c r="AA368" s="102"/>
      <c r="AB368" s="102"/>
      <c r="AC368" s="102"/>
      <c r="AD368" s="102"/>
      <c r="AE368" s="102"/>
      <c r="AF368" s="102"/>
      <c r="AG368" s="102"/>
      <c r="AH368" s="102"/>
      <c r="AI368" s="102"/>
      <c r="AJ368" s="906"/>
      <c r="AK368" s="102"/>
      <c r="AL368" s="915"/>
      <c r="AM368" s="915"/>
      <c r="AN368" s="114"/>
      <c r="AO368" s="64"/>
      <c r="AP368" s="64"/>
      <c r="AQ368" s="64"/>
      <c r="AR368" s="916"/>
      <c r="AS368" s="916"/>
      <c r="AT368" s="916"/>
      <c r="AU368" s="917"/>
      <c r="AV368" s="917"/>
      <c r="AW368" s="917"/>
      <c r="AX368" s="918"/>
      <c r="AY368" s="916"/>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917"/>
      <c r="CA368" s="917"/>
      <c r="CB368" s="64"/>
      <c r="CC368" s="919"/>
      <c r="CD368" s="919"/>
      <c r="CE368" s="64"/>
      <c r="CF368" s="528"/>
      <c r="CG368" s="529"/>
      <c r="CH368" s="64"/>
      <c r="CI368" s="64"/>
      <c r="CJ368" s="64"/>
      <c r="CK368" s="64"/>
      <c r="CL368" s="64"/>
      <c r="CM368" s="64"/>
      <c r="CN368" s="64"/>
      <c r="CO368" s="64"/>
      <c r="CP368" s="64"/>
      <c r="CQ368" s="64"/>
      <c r="CR368" s="64"/>
      <c r="CS368" s="64"/>
      <c r="CT368" s="64"/>
      <c r="CU368" s="64"/>
      <c r="CV368" s="64"/>
      <c r="CW368" s="64"/>
      <c r="CX368" s="64"/>
      <c r="CY368" s="1011"/>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c r="FC368" s="64"/>
      <c r="FD368" s="64"/>
      <c r="FE368" s="64"/>
      <c r="FF368" s="64"/>
      <c r="FG368" s="64"/>
      <c r="FH368" s="64"/>
      <c r="FI368" s="64"/>
      <c r="FJ368" s="64"/>
      <c r="FK368" s="64"/>
      <c r="FL368" s="64"/>
      <c r="FM368" s="64"/>
      <c r="FN368" s="64"/>
      <c r="FO368" s="64"/>
      <c r="FP368" s="64"/>
      <c r="FQ368" s="64"/>
      <c r="FR368" s="64"/>
      <c r="FS368" s="64"/>
      <c r="FT368" s="64"/>
      <c r="FU368" s="64"/>
      <c r="FV368" s="64"/>
      <c r="FW368" s="64"/>
      <c r="FX368" s="64"/>
      <c r="FY368" s="64"/>
      <c r="FZ368" s="64"/>
      <c r="GA368" s="64"/>
      <c r="GB368" s="64"/>
      <c r="GC368" s="64"/>
      <c r="GD368" s="64"/>
      <c r="GE368" s="64"/>
      <c r="GF368" s="64"/>
      <c r="GG368" s="64"/>
      <c r="GH368" s="64"/>
      <c r="GI368" s="64"/>
      <c r="GJ368" s="64"/>
      <c r="GK368" s="64"/>
      <c r="GL368" s="64"/>
      <c r="GM368" s="64"/>
      <c r="GN368" s="64"/>
      <c r="GO368" s="64"/>
      <c r="GP368" s="64"/>
      <c r="GQ368" s="64"/>
      <c r="GR368" s="64"/>
      <c r="GS368" s="64"/>
      <c r="GT368" s="64"/>
      <c r="GU368" s="64"/>
      <c r="GV368" s="64"/>
      <c r="GW368" s="64"/>
      <c r="GX368" s="64"/>
      <c r="GY368" s="64"/>
      <c r="GZ368" s="64"/>
      <c r="HA368" s="64"/>
      <c r="HB368" s="64"/>
      <c r="HC368" s="64"/>
      <c r="HD368" s="64"/>
      <c r="HE368" s="64"/>
      <c r="HF368" s="64"/>
      <c r="HG368" s="64"/>
      <c r="HH368" s="64"/>
      <c r="HI368" s="64"/>
      <c r="HJ368" s="64"/>
      <c r="HK368" s="64"/>
      <c r="HL368" s="64"/>
      <c r="HM368" s="64"/>
      <c r="HN368" s="64"/>
      <c r="HO368" s="64"/>
      <c r="HP368" s="64"/>
      <c r="HQ368" s="64"/>
      <c r="HR368" s="64"/>
      <c r="HS368" s="64"/>
      <c r="HT368" s="64"/>
      <c r="HU368" s="64"/>
      <c r="HV368" s="64"/>
      <c r="HW368" s="64"/>
      <c r="HX368" s="64"/>
      <c r="HY368" s="64"/>
      <c r="HZ368" s="64"/>
      <c r="IA368" s="64"/>
      <c r="IB368" s="64"/>
      <c r="IC368" s="64"/>
      <c r="ID368" s="64"/>
      <c r="IE368" s="64"/>
      <c r="IF368" s="64"/>
      <c r="IG368" s="64"/>
      <c r="IH368" s="64"/>
      <c r="II368" s="64"/>
      <c r="IJ368" s="64"/>
      <c r="IK368" s="64"/>
      <c r="IL368" s="64"/>
      <c r="IM368" s="64"/>
      <c r="IN368" s="64"/>
      <c r="IO368" s="64"/>
      <c r="IP368" s="64"/>
      <c r="IQ368" s="64"/>
      <c r="IR368" s="64"/>
      <c r="IS368" s="64"/>
      <c r="IT368" s="64"/>
      <c r="IU368" s="64"/>
      <c r="IV368" s="64"/>
      <c r="IW368" s="64"/>
      <c r="IX368" s="64"/>
      <c r="IY368" s="64"/>
      <c r="IZ368" s="64"/>
      <c r="JA368" s="64"/>
      <c r="JB368" s="64"/>
      <c r="JC368" s="64"/>
      <c r="JD368" s="64"/>
      <c r="JE368" s="64"/>
      <c r="JF368" s="64"/>
      <c r="JG368" s="64"/>
      <c r="JH368" s="64"/>
      <c r="JI368" s="64"/>
    </row>
    <row r="369" spans="1:269" s="920" customFormat="1" x14ac:dyDescent="0.2">
      <c r="A369" s="116"/>
      <c r="B369" s="64"/>
      <c r="C369" s="64"/>
      <c r="D369" s="64"/>
      <c r="E369" s="64"/>
      <c r="F369" s="64"/>
      <c r="G369" s="64"/>
      <c r="H369" s="64"/>
      <c r="I369" s="64"/>
      <c r="J369" s="116"/>
      <c r="K369" s="116"/>
      <c r="L369" s="116"/>
      <c r="M369" s="116"/>
      <c r="N369" s="116"/>
      <c r="O369" s="116"/>
      <c r="P369" s="116"/>
      <c r="Q369" s="102"/>
      <c r="R369" s="102"/>
      <c r="S369" s="102"/>
      <c r="T369" s="102"/>
      <c r="U369" s="913"/>
      <c r="V369" s="114"/>
      <c r="W369" s="805"/>
      <c r="X369" s="805"/>
      <c r="Y369" s="805"/>
      <c r="Z369" s="914"/>
      <c r="AA369" s="102"/>
      <c r="AB369" s="102"/>
      <c r="AC369" s="102"/>
      <c r="AD369" s="102"/>
      <c r="AE369" s="102"/>
      <c r="AF369" s="102"/>
      <c r="AG369" s="102"/>
      <c r="AH369" s="102"/>
      <c r="AI369" s="102"/>
      <c r="AJ369" s="906"/>
      <c r="AK369" s="102"/>
      <c r="AL369" s="915"/>
      <c r="AM369" s="915"/>
      <c r="AN369" s="114"/>
      <c r="AO369" s="64"/>
      <c r="AP369" s="64"/>
      <c r="AQ369" s="64"/>
      <c r="AR369" s="916"/>
      <c r="AS369" s="916"/>
      <c r="AT369" s="916"/>
      <c r="AU369" s="917"/>
      <c r="AV369" s="917"/>
      <c r="AW369" s="917"/>
      <c r="AX369" s="918"/>
      <c r="AY369" s="916"/>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917"/>
      <c r="CA369" s="917"/>
      <c r="CB369" s="64"/>
      <c r="CC369" s="919"/>
      <c r="CD369" s="919"/>
      <c r="CE369" s="64"/>
      <c r="CF369" s="528"/>
      <c r="CG369" s="529"/>
      <c r="CH369" s="64"/>
      <c r="CI369" s="64"/>
      <c r="CJ369" s="64"/>
      <c r="CK369" s="64"/>
      <c r="CL369" s="64"/>
      <c r="CM369" s="64"/>
      <c r="CN369" s="64"/>
      <c r="CO369" s="64"/>
      <c r="CP369" s="64"/>
      <c r="CQ369" s="64"/>
      <c r="CR369" s="64"/>
      <c r="CS369" s="64"/>
      <c r="CT369" s="64"/>
      <c r="CU369" s="64"/>
      <c r="CV369" s="64"/>
      <c r="CW369" s="64"/>
      <c r="CX369" s="64"/>
      <c r="CY369" s="1011"/>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c r="FC369" s="64"/>
      <c r="FD369" s="64"/>
      <c r="FE369" s="64"/>
      <c r="FF369" s="64"/>
      <c r="FG369" s="64"/>
      <c r="FH369" s="64"/>
      <c r="FI369" s="64"/>
      <c r="FJ369" s="64"/>
      <c r="FK369" s="64"/>
      <c r="FL369" s="64"/>
      <c r="FM369" s="64"/>
      <c r="FN369" s="64"/>
      <c r="FO369" s="64"/>
      <c r="FP369" s="64"/>
      <c r="FQ369" s="64"/>
      <c r="FR369" s="64"/>
      <c r="FS369" s="64"/>
      <c r="FT369" s="64"/>
      <c r="FU369" s="64"/>
      <c r="FV369" s="64"/>
      <c r="FW369" s="64"/>
      <c r="FX369" s="64"/>
      <c r="FY369" s="64"/>
      <c r="FZ369" s="64"/>
      <c r="GA369" s="64"/>
      <c r="GB369" s="64"/>
      <c r="GC369" s="64"/>
      <c r="GD369" s="64"/>
      <c r="GE369" s="64"/>
      <c r="GF369" s="64"/>
      <c r="GG369" s="64"/>
      <c r="GH369" s="64"/>
      <c r="GI369" s="64"/>
      <c r="GJ369" s="64"/>
      <c r="GK369" s="64"/>
      <c r="GL369" s="64"/>
      <c r="GM369" s="64"/>
      <c r="GN369" s="64"/>
      <c r="GO369" s="64"/>
      <c r="GP369" s="64"/>
      <c r="GQ369" s="64"/>
      <c r="GR369" s="64"/>
      <c r="GS369" s="64"/>
      <c r="GT369" s="64"/>
      <c r="GU369" s="64"/>
      <c r="GV369" s="64"/>
      <c r="GW369" s="64"/>
      <c r="GX369" s="64"/>
      <c r="GY369" s="64"/>
      <c r="GZ369" s="64"/>
      <c r="HA369" s="64"/>
      <c r="HB369" s="64"/>
      <c r="HC369" s="64"/>
      <c r="HD369" s="64"/>
      <c r="HE369" s="64"/>
      <c r="HF369" s="64"/>
      <c r="HG369" s="64"/>
      <c r="HH369" s="64"/>
      <c r="HI369" s="64"/>
      <c r="HJ369" s="64"/>
      <c r="HK369" s="64"/>
      <c r="HL369" s="64"/>
      <c r="HM369" s="64"/>
      <c r="HN369" s="64"/>
      <c r="HO369" s="64"/>
      <c r="HP369" s="64"/>
      <c r="HQ369" s="64"/>
      <c r="HR369" s="64"/>
      <c r="HS369" s="64"/>
      <c r="HT369" s="64"/>
      <c r="HU369" s="64"/>
      <c r="HV369" s="64"/>
      <c r="HW369" s="64"/>
      <c r="HX369" s="64"/>
      <c r="HY369" s="64"/>
      <c r="HZ369" s="64"/>
      <c r="IA369" s="64"/>
      <c r="IB369" s="64"/>
      <c r="IC369" s="64"/>
      <c r="ID369" s="64"/>
      <c r="IE369" s="64"/>
      <c r="IF369" s="64"/>
      <c r="IG369" s="64"/>
      <c r="IH369" s="64"/>
      <c r="II369" s="64"/>
      <c r="IJ369" s="64"/>
      <c r="IK369" s="64"/>
      <c r="IL369" s="64"/>
      <c r="IM369" s="64"/>
      <c r="IN369" s="64"/>
      <c r="IO369" s="64"/>
      <c r="IP369" s="64"/>
      <c r="IQ369" s="64"/>
      <c r="IR369" s="64"/>
      <c r="IS369" s="64"/>
      <c r="IT369" s="64"/>
      <c r="IU369" s="64"/>
      <c r="IV369" s="64"/>
      <c r="IW369" s="64"/>
      <c r="IX369" s="64"/>
      <c r="IY369" s="64"/>
      <c r="IZ369" s="64"/>
      <c r="JA369" s="64"/>
      <c r="JB369" s="64"/>
      <c r="JC369" s="64"/>
      <c r="JD369" s="64"/>
      <c r="JE369" s="64"/>
      <c r="JF369" s="64"/>
      <c r="JG369" s="64"/>
      <c r="JH369" s="64"/>
      <c r="JI369" s="64"/>
    </row>
    <row r="370" spans="1:269" s="920" customFormat="1" x14ac:dyDescent="0.2">
      <c r="A370" s="116"/>
      <c r="B370" s="64"/>
      <c r="C370" s="64"/>
      <c r="D370" s="64"/>
      <c r="E370" s="64"/>
      <c r="F370" s="64"/>
      <c r="G370" s="64"/>
      <c r="H370" s="64"/>
      <c r="I370" s="64"/>
      <c r="J370" s="116"/>
      <c r="K370" s="116"/>
      <c r="L370" s="116"/>
      <c r="M370" s="116"/>
      <c r="N370" s="116"/>
      <c r="O370" s="116"/>
      <c r="P370" s="116"/>
      <c r="Q370" s="102"/>
      <c r="R370" s="102"/>
      <c r="S370" s="102"/>
      <c r="T370" s="102"/>
      <c r="U370" s="913"/>
      <c r="V370" s="114"/>
      <c r="W370" s="805"/>
      <c r="X370" s="805"/>
      <c r="Y370" s="805"/>
      <c r="Z370" s="914"/>
      <c r="AA370" s="102"/>
      <c r="AB370" s="102"/>
      <c r="AC370" s="102"/>
      <c r="AD370" s="102"/>
      <c r="AE370" s="102"/>
      <c r="AF370" s="102"/>
      <c r="AG370" s="102"/>
      <c r="AH370" s="102"/>
      <c r="AI370" s="102"/>
      <c r="AJ370" s="906"/>
      <c r="AK370" s="102"/>
      <c r="AL370" s="915"/>
      <c r="AM370" s="915"/>
      <c r="AN370" s="114"/>
      <c r="AO370" s="64"/>
      <c r="AP370" s="64"/>
      <c r="AQ370" s="64"/>
      <c r="AR370" s="916"/>
      <c r="AS370" s="916"/>
      <c r="AT370" s="916"/>
      <c r="AU370" s="917"/>
      <c r="AV370" s="917"/>
      <c r="AW370" s="917"/>
      <c r="AX370" s="918"/>
      <c r="AY370" s="916"/>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917"/>
      <c r="CA370" s="917"/>
      <c r="CB370" s="64"/>
      <c r="CC370" s="919"/>
      <c r="CD370" s="919"/>
      <c r="CE370" s="64"/>
      <c r="CF370" s="528"/>
      <c r="CG370" s="529"/>
      <c r="CH370" s="64"/>
      <c r="CI370" s="64"/>
      <c r="CJ370" s="64"/>
      <c r="CK370" s="64"/>
      <c r="CL370" s="64"/>
      <c r="CM370" s="64"/>
      <c r="CN370" s="64"/>
      <c r="CO370" s="64"/>
      <c r="CP370" s="64"/>
      <c r="CQ370" s="64"/>
      <c r="CR370" s="64"/>
      <c r="CS370" s="64"/>
      <c r="CT370" s="64"/>
      <c r="CU370" s="64"/>
      <c r="CV370" s="64"/>
      <c r="CW370" s="64"/>
      <c r="CX370" s="64"/>
      <c r="CY370" s="1011"/>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c r="FC370" s="64"/>
      <c r="FD370" s="64"/>
      <c r="FE370" s="64"/>
      <c r="FF370" s="64"/>
      <c r="FG370" s="64"/>
      <c r="FH370" s="64"/>
      <c r="FI370" s="64"/>
      <c r="FJ370" s="64"/>
      <c r="FK370" s="64"/>
      <c r="FL370" s="64"/>
      <c r="FM370" s="64"/>
      <c r="FN370" s="64"/>
      <c r="FO370" s="64"/>
      <c r="FP370" s="64"/>
      <c r="FQ370" s="64"/>
      <c r="FR370" s="64"/>
      <c r="FS370" s="64"/>
      <c r="FT370" s="64"/>
      <c r="FU370" s="64"/>
      <c r="FV370" s="64"/>
      <c r="FW370" s="64"/>
      <c r="FX370" s="64"/>
      <c r="FY370" s="64"/>
      <c r="FZ370" s="64"/>
      <c r="GA370" s="64"/>
      <c r="GB370" s="64"/>
      <c r="GC370" s="64"/>
      <c r="GD370" s="64"/>
      <c r="GE370" s="64"/>
      <c r="GF370" s="64"/>
      <c r="GG370" s="64"/>
      <c r="GH370" s="64"/>
      <c r="GI370" s="64"/>
      <c r="GJ370" s="64"/>
      <c r="GK370" s="64"/>
      <c r="GL370" s="64"/>
      <c r="GM370" s="64"/>
      <c r="GN370" s="64"/>
      <c r="GO370" s="64"/>
      <c r="GP370" s="64"/>
      <c r="GQ370" s="64"/>
      <c r="GR370" s="64"/>
      <c r="GS370" s="64"/>
      <c r="GT370" s="64"/>
      <c r="GU370" s="64"/>
      <c r="GV370" s="64"/>
      <c r="GW370" s="64"/>
      <c r="GX370" s="64"/>
      <c r="GY370" s="64"/>
      <c r="GZ370" s="64"/>
      <c r="HA370" s="64"/>
      <c r="HB370" s="64"/>
      <c r="HC370" s="64"/>
      <c r="HD370" s="64"/>
      <c r="HE370" s="64"/>
      <c r="HF370" s="64"/>
      <c r="HG370" s="64"/>
      <c r="HH370" s="64"/>
      <c r="HI370" s="64"/>
      <c r="HJ370" s="64"/>
      <c r="HK370" s="64"/>
      <c r="HL370" s="64"/>
      <c r="HM370" s="64"/>
      <c r="HN370" s="64"/>
      <c r="HO370" s="64"/>
      <c r="HP370" s="64"/>
      <c r="HQ370" s="64"/>
      <c r="HR370" s="64"/>
      <c r="HS370" s="64"/>
      <c r="HT370" s="64"/>
      <c r="HU370" s="64"/>
      <c r="HV370" s="64"/>
      <c r="HW370" s="64"/>
      <c r="HX370" s="64"/>
      <c r="HY370" s="64"/>
      <c r="HZ370" s="64"/>
      <c r="IA370" s="64"/>
      <c r="IB370" s="64"/>
      <c r="IC370" s="64"/>
      <c r="ID370" s="64"/>
      <c r="IE370" s="64"/>
      <c r="IF370" s="64"/>
      <c r="IG370" s="64"/>
      <c r="IH370" s="64"/>
      <c r="II370" s="64"/>
      <c r="IJ370" s="64"/>
      <c r="IK370" s="64"/>
      <c r="IL370" s="64"/>
      <c r="IM370" s="64"/>
      <c r="IN370" s="64"/>
      <c r="IO370" s="64"/>
      <c r="IP370" s="64"/>
      <c r="IQ370" s="64"/>
      <c r="IR370" s="64"/>
      <c r="IS370" s="64"/>
      <c r="IT370" s="64"/>
      <c r="IU370" s="64"/>
      <c r="IV370" s="64"/>
      <c r="IW370" s="64"/>
      <c r="IX370" s="64"/>
      <c r="IY370" s="64"/>
      <c r="IZ370" s="64"/>
      <c r="JA370" s="64"/>
      <c r="JB370" s="64"/>
      <c r="JC370" s="64"/>
      <c r="JD370" s="64"/>
      <c r="JE370" s="64"/>
      <c r="JF370" s="64"/>
      <c r="JG370" s="64"/>
      <c r="JH370" s="64"/>
      <c r="JI370" s="64"/>
    </row>
    <row r="371" spans="1:269" s="920" customFormat="1" x14ac:dyDescent="0.2">
      <c r="A371" s="116"/>
      <c r="B371" s="64"/>
      <c r="C371" s="64"/>
      <c r="D371" s="64"/>
      <c r="E371" s="64"/>
      <c r="F371" s="64"/>
      <c r="G371" s="64"/>
      <c r="H371" s="64"/>
      <c r="I371" s="64"/>
      <c r="J371" s="116"/>
      <c r="K371" s="116"/>
      <c r="L371" s="116"/>
      <c r="M371" s="116"/>
      <c r="N371" s="116"/>
      <c r="O371" s="116"/>
      <c r="P371" s="116"/>
      <c r="Q371" s="102"/>
      <c r="R371" s="102"/>
      <c r="S371" s="102"/>
      <c r="T371" s="102"/>
      <c r="U371" s="913"/>
      <c r="V371" s="114"/>
      <c r="W371" s="805"/>
      <c r="X371" s="805"/>
      <c r="Y371" s="805"/>
      <c r="Z371" s="914"/>
      <c r="AA371" s="102"/>
      <c r="AB371" s="102"/>
      <c r="AC371" s="102"/>
      <c r="AD371" s="102"/>
      <c r="AE371" s="102"/>
      <c r="AF371" s="102"/>
      <c r="AG371" s="102"/>
      <c r="AH371" s="102"/>
      <c r="AI371" s="102"/>
      <c r="AJ371" s="906"/>
      <c r="AK371" s="102"/>
      <c r="AL371" s="915"/>
      <c r="AM371" s="915"/>
      <c r="AN371" s="114"/>
      <c r="AO371" s="64"/>
      <c r="AP371" s="64"/>
      <c r="AQ371" s="64"/>
      <c r="AR371" s="916"/>
      <c r="AS371" s="916"/>
      <c r="AT371" s="916"/>
      <c r="AU371" s="917"/>
      <c r="AV371" s="917"/>
      <c r="AW371" s="917"/>
      <c r="AX371" s="918"/>
      <c r="AY371" s="916"/>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917"/>
      <c r="CA371" s="917"/>
      <c r="CB371" s="64"/>
      <c r="CC371" s="919"/>
      <c r="CD371" s="919"/>
      <c r="CE371" s="64"/>
      <c r="CF371" s="528"/>
      <c r="CG371" s="529"/>
      <c r="CH371" s="64"/>
      <c r="CI371" s="64"/>
      <c r="CJ371" s="64"/>
      <c r="CK371" s="64"/>
      <c r="CL371" s="64"/>
      <c r="CM371" s="64"/>
      <c r="CN371" s="64"/>
      <c r="CO371" s="64"/>
      <c r="CP371" s="64"/>
      <c r="CQ371" s="64"/>
      <c r="CR371" s="64"/>
      <c r="CS371" s="64"/>
      <c r="CT371" s="64"/>
      <c r="CU371" s="64"/>
      <c r="CV371" s="64"/>
      <c r="CW371" s="64"/>
      <c r="CX371" s="64"/>
      <c r="CY371" s="1011"/>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c r="FC371" s="64"/>
      <c r="FD371" s="64"/>
      <c r="FE371" s="64"/>
      <c r="FF371" s="64"/>
      <c r="FG371" s="64"/>
      <c r="FH371" s="64"/>
      <c r="FI371" s="64"/>
      <c r="FJ371" s="64"/>
      <c r="FK371" s="64"/>
      <c r="FL371" s="64"/>
      <c r="FM371" s="64"/>
      <c r="FN371" s="64"/>
      <c r="FO371" s="64"/>
      <c r="FP371" s="64"/>
      <c r="FQ371" s="64"/>
      <c r="FR371" s="64"/>
      <c r="FS371" s="64"/>
      <c r="FT371" s="64"/>
      <c r="FU371" s="64"/>
      <c r="FV371" s="64"/>
      <c r="FW371" s="64"/>
      <c r="FX371" s="64"/>
      <c r="FY371" s="64"/>
      <c r="FZ371" s="64"/>
      <c r="GA371" s="64"/>
      <c r="GB371" s="64"/>
      <c r="GC371" s="64"/>
      <c r="GD371" s="64"/>
      <c r="GE371" s="64"/>
      <c r="GF371" s="64"/>
      <c r="GG371" s="64"/>
      <c r="GH371" s="64"/>
      <c r="GI371" s="64"/>
      <c r="GJ371" s="64"/>
      <c r="GK371" s="64"/>
      <c r="GL371" s="64"/>
      <c r="GM371" s="64"/>
      <c r="GN371" s="64"/>
      <c r="GO371" s="64"/>
      <c r="GP371" s="64"/>
      <c r="GQ371" s="64"/>
      <c r="GR371" s="64"/>
      <c r="GS371" s="64"/>
      <c r="GT371" s="64"/>
      <c r="GU371" s="64"/>
      <c r="GV371" s="64"/>
      <c r="GW371" s="64"/>
      <c r="GX371" s="64"/>
      <c r="GY371" s="64"/>
      <c r="GZ371" s="64"/>
      <c r="HA371" s="64"/>
      <c r="HB371" s="64"/>
      <c r="HC371" s="64"/>
      <c r="HD371" s="64"/>
      <c r="HE371" s="64"/>
      <c r="HF371" s="64"/>
      <c r="HG371" s="64"/>
      <c r="HH371" s="64"/>
      <c r="HI371" s="64"/>
      <c r="HJ371" s="64"/>
      <c r="HK371" s="64"/>
      <c r="HL371" s="64"/>
      <c r="HM371" s="64"/>
      <c r="HN371" s="64"/>
      <c r="HO371" s="64"/>
      <c r="HP371" s="64"/>
      <c r="HQ371" s="64"/>
      <c r="HR371" s="64"/>
      <c r="HS371" s="64"/>
      <c r="HT371" s="64"/>
      <c r="HU371" s="64"/>
      <c r="HV371" s="64"/>
      <c r="HW371" s="64"/>
      <c r="HX371" s="64"/>
      <c r="HY371" s="64"/>
      <c r="HZ371" s="64"/>
      <c r="IA371" s="64"/>
      <c r="IB371" s="64"/>
      <c r="IC371" s="64"/>
      <c r="ID371" s="64"/>
      <c r="IE371" s="64"/>
      <c r="IF371" s="64"/>
      <c r="IG371" s="64"/>
      <c r="IH371" s="64"/>
      <c r="II371" s="64"/>
      <c r="IJ371" s="64"/>
      <c r="IK371" s="64"/>
      <c r="IL371" s="64"/>
      <c r="IM371" s="64"/>
      <c r="IN371" s="64"/>
      <c r="IO371" s="64"/>
      <c r="IP371" s="64"/>
      <c r="IQ371" s="64"/>
      <c r="IR371" s="64"/>
      <c r="IS371" s="64"/>
      <c r="IT371" s="64"/>
      <c r="IU371" s="64"/>
      <c r="IV371" s="64"/>
      <c r="IW371" s="64"/>
      <c r="IX371" s="64"/>
      <c r="IY371" s="64"/>
      <c r="IZ371" s="64"/>
      <c r="JA371" s="64"/>
      <c r="JB371" s="64"/>
      <c r="JC371" s="64"/>
      <c r="JD371" s="64"/>
      <c r="JE371" s="64"/>
      <c r="JF371" s="64"/>
      <c r="JG371" s="64"/>
      <c r="JH371" s="64"/>
      <c r="JI371" s="64"/>
    </row>
    <row r="372" spans="1:269" s="920" customFormat="1" x14ac:dyDescent="0.2">
      <c r="A372" s="116"/>
      <c r="B372" s="64"/>
      <c r="C372" s="64"/>
      <c r="D372" s="64"/>
      <c r="E372" s="64"/>
      <c r="F372" s="64"/>
      <c r="G372" s="64"/>
      <c r="H372" s="64"/>
      <c r="I372" s="64"/>
      <c r="J372" s="116"/>
      <c r="K372" s="116"/>
      <c r="L372" s="116"/>
      <c r="M372" s="116"/>
      <c r="N372" s="116"/>
      <c r="O372" s="116"/>
      <c r="P372" s="116"/>
      <c r="Q372" s="102"/>
      <c r="R372" s="102"/>
      <c r="S372" s="102"/>
      <c r="T372" s="102"/>
      <c r="U372" s="913"/>
      <c r="V372" s="114"/>
      <c r="W372" s="805"/>
      <c r="X372" s="805"/>
      <c r="Y372" s="805"/>
      <c r="Z372" s="914"/>
      <c r="AA372" s="102"/>
      <c r="AB372" s="102"/>
      <c r="AC372" s="102"/>
      <c r="AD372" s="102"/>
      <c r="AE372" s="102"/>
      <c r="AF372" s="102"/>
      <c r="AG372" s="102"/>
      <c r="AH372" s="102"/>
      <c r="AI372" s="102"/>
      <c r="AJ372" s="906"/>
      <c r="AK372" s="102"/>
      <c r="AL372" s="915"/>
      <c r="AM372" s="915"/>
      <c r="AN372" s="114"/>
      <c r="AO372" s="64"/>
      <c r="AP372" s="64"/>
      <c r="AQ372" s="64"/>
      <c r="AR372" s="916"/>
      <c r="AS372" s="916"/>
      <c r="AT372" s="916"/>
      <c r="AU372" s="917"/>
      <c r="AV372" s="917"/>
      <c r="AW372" s="917"/>
      <c r="AX372" s="918"/>
      <c r="AY372" s="916"/>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917"/>
      <c r="CA372" s="917"/>
      <c r="CB372" s="64"/>
      <c r="CC372" s="919"/>
      <c r="CD372" s="919"/>
      <c r="CE372" s="64"/>
      <c r="CF372" s="528"/>
      <c r="CG372" s="529"/>
      <c r="CH372" s="64"/>
      <c r="CI372" s="64"/>
      <c r="CJ372" s="64"/>
      <c r="CK372" s="64"/>
      <c r="CL372" s="64"/>
      <c r="CM372" s="64"/>
      <c r="CN372" s="64"/>
      <c r="CO372" s="64"/>
      <c r="CP372" s="64"/>
      <c r="CQ372" s="64"/>
      <c r="CR372" s="64"/>
      <c r="CS372" s="64"/>
      <c r="CT372" s="64"/>
      <c r="CU372" s="64"/>
      <c r="CV372" s="64"/>
      <c r="CW372" s="64"/>
      <c r="CX372" s="64"/>
      <c r="CY372" s="1011"/>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c r="FC372" s="64"/>
      <c r="FD372" s="64"/>
      <c r="FE372" s="64"/>
      <c r="FF372" s="64"/>
      <c r="FG372" s="64"/>
      <c r="FH372" s="64"/>
      <c r="FI372" s="64"/>
      <c r="FJ372" s="64"/>
      <c r="FK372" s="64"/>
      <c r="FL372" s="64"/>
      <c r="FM372" s="64"/>
      <c r="FN372" s="64"/>
      <c r="FO372" s="64"/>
      <c r="FP372" s="64"/>
      <c r="FQ372" s="64"/>
      <c r="FR372" s="64"/>
      <c r="FS372" s="64"/>
      <c r="FT372" s="64"/>
      <c r="FU372" s="64"/>
      <c r="FV372" s="64"/>
      <c r="FW372" s="64"/>
      <c r="FX372" s="64"/>
      <c r="FY372" s="64"/>
      <c r="FZ372" s="64"/>
      <c r="GA372" s="64"/>
      <c r="GB372" s="64"/>
      <c r="GC372" s="64"/>
      <c r="GD372" s="64"/>
      <c r="GE372" s="64"/>
      <c r="GF372" s="64"/>
      <c r="GG372" s="64"/>
      <c r="GH372" s="64"/>
      <c r="GI372" s="64"/>
      <c r="GJ372" s="64"/>
      <c r="GK372" s="64"/>
      <c r="GL372" s="64"/>
      <c r="GM372" s="64"/>
      <c r="GN372" s="64"/>
      <c r="GO372" s="64"/>
      <c r="GP372" s="64"/>
      <c r="GQ372" s="64"/>
      <c r="GR372" s="64"/>
      <c r="GS372" s="64"/>
      <c r="GT372" s="64"/>
      <c r="GU372" s="64"/>
      <c r="GV372" s="64"/>
      <c r="GW372" s="64"/>
      <c r="GX372" s="64"/>
      <c r="GY372" s="64"/>
      <c r="GZ372" s="64"/>
      <c r="HA372" s="64"/>
      <c r="HB372" s="64"/>
      <c r="HC372" s="64"/>
      <c r="HD372" s="64"/>
      <c r="HE372" s="64"/>
      <c r="HF372" s="64"/>
      <c r="HG372" s="64"/>
      <c r="HH372" s="64"/>
      <c r="HI372" s="64"/>
      <c r="HJ372" s="64"/>
      <c r="HK372" s="64"/>
      <c r="HL372" s="64"/>
      <c r="HM372" s="64"/>
      <c r="HN372" s="64"/>
      <c r="HO372" s="64"/>
      <c r="HP372" s="64"/>
      <c r="HQ372" s="64"/>
      <c r="HR372" s="64"/>
      <c r="HS372" s="64"/>
      <c r="HT372" s="64"/>
      <c r="HU372" s="64"/>
      <c r="HV372" s="64"/>
      <c r="HW372" s="64"/>
      <c r="HX372" s="64"/>
      <c r="HY372" s="64"/>
      <c r="HZ372" s="64"/>
      <c r="IA372" s="64"/>
      <c r="IB372" s="64"/>
      <c r="IC372" s="64"/>
      <c r="ID372" s="64"/>
      <c r="IE372" s="64"/>
      <c r="IF372" s="64"/>
      <c r="IG372" s="64"/>
      <c r="IH372" s="64"/>
      <c r="II372" s="64"/>
      <c r="IJ372" s="64"/>
      <c r="IK372" s="64"/>
      <c r="IL372" s="64"/>
      <c r="IM372" s="64"/>
      <c r="IN372" s="64"/>
      <c r="IO372" s="64"/>
      <c r="IP372" s="64"/>
      <c r="IQ372" s="64"/>
      <c r="IR372" s="64"/>
      <c r="IS372" s="64"/>
      <c r="IT372" s="64"/>
      <c r="IU372" s="64"/>
      <c r="IV372" s="64"/>
      <c r="IW372" s="64"/>
      <c r="IX372" s="64"/>
      <c r="IY372" s="64"/>
      <c r="IZ372" s="64"/>
      <c r="JA372" s="64"/>
      <c r="JB372" s="64"/>
      <c r="JC372" s="64"/>
      <c r="JD372" s="64"/>
      <c r="JE372" s="64"/>
      <c r="JF372" s="64"/>
      <c r="JG372" s="64"/>
      <c r="JH372" s="64"/>
      <c r="JI372" s="64"/>
    </row>
    <row r="373" spans="1:269" s="920" customFormat="1" x14ac:dyDescent="0.2">
      <c r="A373" s="116"/>
      <c r="B373" s="64"/>
      <c r="C373" s="64"/>
      <c r="D373" s="64"/>
      <c r="E373" s="64"/>
      <c r="F373" s="64"/>
      <c r="G373" s="64"/>
      <c r="H373" s="64"/>
      <c r="I373" s="64"/>
      <c r="J373" s="116"/>
      <c r="K373" s="116"/>
      <c r="L373" s="116"/>
      <c r="M373" s="116"/>
      <c r="N373" s="116"/>
      <c r="O373" s="116"/>
      <c r="P373" s="116"/>
      <c r="Q373" s="102"/>
      <c r="R373" s="102"/>
      <c r="S373" s="102"/>
      <c r="T373" s="102"/>
      <c r="U373" s="913"/>
      <c r="V373" s="114"/>
      <c r="W373" s="805"/>
      <c r="X373" s="805"/>
      <c r="Y373" s="805"/>
      <c r="Z373" s="914"/>
      <c r="AA373" s="102"/>
      <c r="AB373" s="102"/>
      <c r="AC373" s="102"/>
      <c r="AD373" s="102"/>
      <c r="AE373" s="102"/>
      <c r="AF373" s="102"/>
      <c r="AG373" s="102"/>
      <c r="AH373" s="102"/>
      <c r="AI373" s="102"/>
      <c r="AJ373" s="906"/>
      <c r="AK373" s="102"/>
      <c r="AL373" s="915"/>
      <c r="AM373" s="915"/>
      <c r="AN373" s="114"/>
      <c r="AO373" s="64"/>
      <c r="AP373" s="64"/>
      <c r="AQ373" s="64"/>
      <c r="AR373" s="916"/>
      <c r="AS373" s="916"/>
      <c r="AT373" s="916"/>
      <c r="AU373" s="917"/>
      <c r="AV373" s="917"/>
      <c r="AW373" s="917"/>
      <c r="AX373" s="918"/>
      <c r="AY373" s="916"/>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917"/>
      <c r="CA373" s="917"/>
      <c r="CB373" s="64"/>
      <c r="CC373" s="919"/>
      <c r="CD373" s="919"/>
      <c r="CE373" s="64"/>
      <c r="CF373" s="528"/>
      <c r="CG373" s="529"/>
      <c r="CH373" s="64"/>
      <c r="CI373" s="64"/>
      <c r="CJ373" s="64"/>
      <c r="CK373" s="64"/>
      <c r="CL373" s="64"/>
      <c r="CM373" s="64"/>
      <c r="CN373" s="64"/>
      <c r="CO373" s="64"/>
      <c r="CP373" s="64"/>
      <c r="CQ373" s="64"/>
      <c r="CR373" s="64"/>
      <c r="CS373" s="64"/>
      <c r="CT373" s="64"/>
      <c r="CU373" s="64"/>
      <c r="CV373" s="64"/>
      <c r="CW373" s="64"/>
      <c r="CX373" s="64"/>
      <c r="CY373" s="1011"/>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c r="FC373" s="64"/>
      <c r="FD373" s="64"/>
      <c r="FE373" s="64"/>
      <c r="FF373" s="64"/>
      <c r="FG373" s="64"/>
      <c r="FH373" s="64"/>
      <c r="FI373" s="64"/>
      <c r="FJ373" s="64"/>
      <c r="FK373" s="64"/>
      <c r="FL373" s="64"/>
      <c r="FM373" s="64"/>
      <c r="FN373" s="64"/>
      <c r="FO373" s="64"/>
      <c r="FP373" s="64"/>
      <c r="FQ373" s="64"/>
      <c r="FR373" s="64"/>
      <c r="FS373" s="64"/>
      <c r="FT373" s="64"/>
      <c r="FU373" s="64"/>
      <c r="FV373" s="64"/>
      <c r="FW373" s="64"/>
      <c r="FX373" s="64"/>
      <c r="FY373" s="64"/>
      <c r="FZ373" s="64"/>
      <c r="GA373" s="64"/>
      <c r="GB373" s="64"/>
      <c r="GC373" s="64"/>
      <c r="GD373" s="64"/>
      <c r="GE373" s="64"/>
      <c r="GF373" s="64"/>
      <c r="GG373" s="64"/>
      <c r="GH373" s="64"/>
      <c r="GI373" s="64"/>
      <c r="GJ373" s="64"/>
      <c r="GK373" s="64"/>
      <c r="GL373" s="64"/>
      <c r="GM373" s="64"/>
      <c r="GN373" s="64"/>
      <c r="GO373" s="64"/>
      <c r="GP373" s="64"/>
      <c r="GQ373" s="64"/>
      <c r="GR373" s="64"/>
      <c r="GS373" s="64"/>
      <c r="GT373" s="64"/>
      <c r="GU373" s="64"/>
      <c r="GV373" s="64"/>
      <c r="GW373" s="64"/>
      <c r="GX373" s="64"/>
      <c r="GY373" s="64"/>
      <c r="GZ373" s="64"/>
      <c r="HA373" s="64"/>
      <c r="HB373" s="64"/>
      <c r="HC373" s="64"/>
      <c r="HD373" s="64"/>
      <c r="HE373" s="64"/>
      <c r="HF373" s="64"/>
      <c r="HG373" s="64"/>
      <c r="HH373" s="64"/>
      <c r="HI373" s="64"/>
      <c r="HJ373" s="64"/>
      <c r="HK373" s="64"/>
      <c r="HL373" s="64"/>
      <c r="HM373" s="64"/>
      <c r="HN373" s="64"/>
      <c r="HO373" s="64"/>
      <c r="HP373" s="64"/>
      <c r="HQ373" s="64"/>
      <c r="HR373" s="64"/>
      <c r="HS373" s="64"/>
      <c r="HT373" s="64"/>
      <c r="HU373" s="64"/>
      <c r="HV373" s="64"/>
      <c r="HW373" s="64"/>
      <c r="HX373" s="64"/>
      <c r="HY373" s="64"/>
      <c r="HZ373" s="64"/>
      <c r="IA373" s="64"/>
      <c r="IB373" s="64"/>
      <c r="IC373" s="64"/>
      <c r="ID373" s="64"/>
      <c r="IE373" s="64"/>
      <c r="IF373" s="64"/>
      <c r="IG373" s="64"/>
      <c r="IH373" s="64"/>
      <c r="II373" s="64"/>
      <c r="IJ373" s="64"/>
      <c r="IK373" s="64"/>
      <c r="IL373" s="64"/>
      <c r="IM373" s="64"/>
      <c r="IN373" s="64"/>
      <c r="IO373" s="64"/>
      <c r="IP373" s="64"/>
      <c r="IQ373" s="64"/>
      <c r="IR373" s="64"/>
      <c r="IS373" s="64"/>
      <c r="IT373" s="64"/>
      <c r="IU373" s="64"/>
      <c r="IV373" s="64"/>
      <c r="IW373" s="64"/>
      <c r="IX373" s="64"/>
      <c r="IY373" s="64"/>
      <c r="IZ373" s="64"/>
      <c r="JA373" s="64"/>
      <c r="JB373" s="64"/>
      <c r="JC373" s="64"/>
      <c r="JD373" s="64"/>
      <c r="JE373" s="64"/>
      <c r="JF373" s="64"/>
      <c r="JG373" s="64"/>
      <c r="JH373" s="64"/>
      <c r="JI373" s="64"/>
    </row>
    <row r="374" spans="1:269" s="920" customFormat="1" x14ac:dyDescent="0.2">
      <c r="A374" s="116"/>
      <c r="B374" s="64"/>
      <c r="C374" s="64"/>
      <c r="D374" s="64"/>
      <c r="E374" s="64"/>
      <c r="F374" s="64"/>
      <c r="G374" s="64"/>
      <c r="H374" s="64"/>
      <c r="I374" s="64"/>
      <c r="J374" s="116"/>
      <c r="K374" s="116"/>
      <c r="L374" s="116"/>
      <c r="M374" s="116"/>
      <c r="N374" s="116"/>
      <c r="O374" s="116"/>
      <c r="P374" s="116"/>
      <c r="Q374" s="102"/>
      <c r="R374" s="102"/>
      <c r="S374" s="102"/>
      <c r="T374" s="102"/>
      <c r="U374" s="913"/>
      <c r="V374" s="114"/>
      <c r="W374" s="805"/>
      <c r="X374" s="805"/>
      <c r="Y374" s="805"/>
      <c r="Z374" s="914"/>
      <c r="AA374" s="102"/>
      <c r="AB374" s="102"/>
      <c r="AC374" s="102"/>
      <c r="AD374" s="102"/>
      <c r="AE374" s="102"/>
      <c r="AF374" s="102"/>
      <c r="AG374" s="102"/>
      <c r="AH374" s="102"/>
      <c r="AI374" s="102"/>
      <c r="AJ374" s="906"/>
      <c r="AK374" s="102"/>
      <c r="AL374" s="915"/>
      <c r="AM374" s="915"/>
      <c r="AN374" s="114"/>
      <c r="AO374" s="64"/>
      <c r="AP374" s="64"/>
      <c r="AQ374" s="64"/>
      <c r="AR374" s="916"/>
      <c r="AS374" s="916"/>
      <c r="AT374" s="916"/>
      <c r="AU374" s="917"/>
      <c r="AV374" s="917"/>
      <c r="AW374" s="917"/>
      <c r="AX374" s="918"/>
      <c r="AY374" s="916"/>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917"/>
      <c r="CA374" s="917"/>
      <c r="CB374" s="64"/>
      <c r="CC374" s="919"/>
      <c r="CD374" s="919"/>
      <c r="CE374" s="64"/>
      <c r="CF374" s="528"/>
      <c r="CG374" s="529"/>
      <c r="CH374" s="64"/>
      <c r="CI374" s="64"/>
      <c r="CJ374" s="64"/>
      <c r="CK374" s="64"/>
      <c r="CL374" s="64"/>
      <c r="CM374" s="64"/>
      <c r="CN374" s="64"/>
      <c r="CO374" s="64"/>
      <c r="CP374" s="64"/>
      <c r="CQ374" s="64"/>
      <c r="CR374" s="64"/>
      <c r="CS374" s="64"/>
      <c r="CT374" s="64"/>
      <c r="CU374" s="64"/>
      <c r="CV374" s="64"/>
      <c r="CW374" s="64"/>
      <c r="CX374" s="64"/>
      <c r="CY374" s="1011"/>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c r="FC374" s="64"/>
      <c r="FD374" s="64"/>
      <c r="FE374" s="64"/>
      <c r="FF374" s="64"/>
      <c r="FG374" s="64"/>
      <c r="FH374" s="64"/>
      <c r="FI374" s="64"/>
      <c r="FJ374" s="64"/>
      <c r="FK374" s="64"/>
      <c r="FL374" s="64"/>
      <c r="FM374" s="64"/>
      <c r="FN374" s="64"/>
      <c r="FO374" s="64"/>
      <c r="FP374" s="64"/>
      <c r="FQ374" s="64"/>
      <c r="FR374" s="64"/>
      <c r="FS374" s="64"/>
      <c r="FT374" s="64"/>
      <c r="FU374" s="64"/>
      <c r="FV374" s="64"/>
      <c r="FW374" s="64"/>
      <c r="FX374" s="64"/>
      <c r="FY374" s="64"/>
      <c r="FZ374" s="64"/>
      <c r="GA374" s="64"/>
      <c r="GB374" s="64"/>
      <c r="GC374" s="64"/>
      <c r="GD374" s="64"/>
      <c r="GE374" s="64"/>
      <c r="GF374" s="64"/>
      <c r="GG374" s="64"/>
      <c r="GH374" s="64"/>
      <c r="GI374" s="64"/>
      <c r="GJ374" s="64"/>
      <c r="GK374" s="64"/>
      <c r="GL374" s="64"/>
      <c r="GM374" s="64"/>
      <c r="GN374" s="64"/>
      <c r="GO374" s="64"/>
      <c r="GP374" s="64"/>
      <c r="GQ374" s="64"/>
      <c r="GR374" s="64"/>
      <c r="GS374" s="64"/>
      <c r="GT374" s="64"/>
      <c r="GU374" s="64"/>
      <c r="GV374" s="64"/>
      <c r="GW374" s="64"/>
      <c r="GX374" s="64"/>
      <c r="GY374" s="64"/>
      <c r="GZ374" s="64"/>
      <c r="HA374" s="64"/>
      <c r="HB374" s="64"/>
      <c r="HC374" s="64"/>
      <c r="HD374" s="64"/>
      <c r="HE374" s="64"/>
      <c r="HF374" s="64"/>
      <c r="HG374" s="64"/>
      <c r="HH374" s="64"/>
      <c r="HI374" s="64"/>
      <c r="HJ374" s="64"/>
      <c r="HK374" s="64"/>
      <c r="HL374" s="64"/>
      <c r="HM374" s="64"/>
      <c r="HN374" s="64"/>
      <c r="HO374" s="64"/>
      <c r="HP374" s="64"/>
      <c r="HQ374" s="64"/>
      <c r="HR374" s="64"/>
      <c r="HS374" s="64"/>
      <c r="HT374" s="64"/>
      <c r="HU374" s="64"/>
      <c r="HV374" s="64"/>
      <c r="HW374" s="64"/>
      <c r="HX374" s="64"/>
      <c r="HY374" s="64"/>
      <c r="HZ374" s="64"/>
      <c r="IA374" s="64"/>
      <c r="IB374" s="64"/>
      <c r="IC374" s="64"/>
      <c r="ID374" s="64"/>
      <c r="IE374" s="64"/>
      <c r="IF374" s="64"/>
      <c r="IG374" s="64"/>
      <c r="IH374" s="64"/>
      <c r="II374" s="64"/>
      <c r="IJ374" s="64"/>
      <c r="IK374" s="64"/>
      <c r="IL374" s="64"/>
      <c r="IM374" s="64"/>
      <c r="IN374" s="64"/>
      <c r="IO374" s="64"/>
      <c r="IP374" s="64"/>
      <c r="IQ374" s="64"/>
      <c r="IR374" s="64"/>
      <c r="IS374" s="64"/>
      <c r="IT374" s="64"/>
      <c r="IU374" s="64"/>
      <c r="IV374" s="64"/>
      <c r="IW374" s="64"/>
      <c r="IX374" s="64"/>
      <c r="IY374" s="64"/>
      <c r="IZ374" s="64"/>
      <c r="JA374" s="64"/>
      <c r="JB374" s="64"/>
      <c r="JC374" s="64"/>
      <c r="JD374" s="64"/>
      <c r="JE374" s="64"/>
      <c r="JF374" s="64"/>
      <c r="JG374" s="64"/>
      <c r="JH374" s="64"/>
      <c r="JI374" s="64"/>
    </row>
    <row r="375" spans="1:269" s="920" customFormat="1" x14ac:dyDescent="0.2">
      <c r="A375" s="116"/>
      <c r="B375" s="64"/>
      <c r="C375" s="64"/>
      <c r="D375" s="64"/>
      <c r="E375" s="64"/>
      <c r="F375" s="64"/>
      <c r="G375" s="64"/>
      <c r="H375" s="64"/>
      <c r="I375" s="64"/>
      <c r="J375" s="116"/>
      <c r="K375" s="116"/>
      <c r="L375" s="116"/>
      <c r="M375" s="116"/>
      <c r="N375" s="116"/>
      <c r="O375" s="116"/>
      <c r="P375" s="116"/>
      <c r="Q375" s="102"/>
      <c r="R375" s="102"/>
      <c r="S375" s="102"/>
      <c r="T375" s="102"/>
      <c r="U375" s="913"/>
      <c r="V375" s="114"/>
      <c r="W375" s="805"/>
      <c r="X375" s="805"/>
      <c r="Y375" s="805"/>
      <c r="Z375" s="914"/>
      <c r="AA375" s="102"/>
      <c r="AB375" s="102"/>
      <c r="AC375" s="102"/>
      <c r="AD375" s="102"/>
      <c r="AE375" s="102"/>
      <c r="AF375" s="102"/>
      <c r="AG375" s="102"/>
      <c r="AH375" s="102"/>
      <c r="AI375" s="102"/>
      <c r="AJ375" s="906"/>
      <c r="AK375" s="102"/>
      <c r="AL375" s="915"/>
      <c r="AM375" s="915"/>
      <c r="AN375" s="114"/>
      <c r="AO375" s="64"/>
      <c r="AP375" s="64"/>
      <c r="AQ375" s="64"/>
      <c r="AR375" s="916"/>
      <c r="AS375" s="916"/>
      <c r="AT375" s="916"/>
      <c r="AU375" s="917"/>
      <c r="AV375" s="917"/>
      <c r="AW375" s="917"/>
      <c r="AX375" s="918"/>
      <c r="AY375" s="916"/>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917"/>
      <c r="CA375" s="917"/>
      <c r="CB375" s="64"/>
      <c r="CC375" s="919"/>
      <c r="CD375" s="919"/>
      <c r="CE375" s="64"/>
      <c r="CF375" s="528"/>
      <c r="CG375" s="529"/>
      <c r="CH375" s="64"/>
      <c r="CI375" s="64"/>
      <c r="CJ375" s="64"/>
      <c r="CK375" s="64"/>
      <c r="CL375" s="64"/>
      <c r="CM375" s="64"/>
      <c r="CN375" s="64"/>
      <c r="CO375" s="64"/>
      <c r="CP375" s="64"/>
      <c r="CQ375" s="64"/>
      <c r="CR375" s="64"/>
      <c r="CS375" s="64"/>
      <c r="CT375" s="64"/>
      <c r="CU375" s="64"/>
      <c r="CV375" s="64"/>
      <c r="CW375" s="64"/>
      <c r="CX375" s="64"/>
      <c r="CY375" s="1011"/>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c r="FC375" s="64"/>
      <c r="FD375" s="64"/>
      <c r="FE375" s="64"/>
      <c r="FF375" s="64"/>
      <c r="FG375" s="64"/>
      <c r="FH375" s="64"/>
      <c r="FI375" s="64"/>
      <c r="FJ375" s="64"/>
      <c r="FK375" s="64"/>
      <c r="FL375" s="64"/>
      <c r="FM375" s="64"/>
      <c r="FN375" s="64"/>
      <c r="FO375" s="64"/>
      <c r="FP375" s="64"/>
      <c r="FQ375" s="64"/>
      <c r="FR375" s="64"/>
      <c r="FS375" s="64"/>
      <c r="FT375" s="64"/>
      <c r="FU375" s="64"/>
      <c r="FV375" s="64"/>
      <c r="FW375" s="64"/>
      <c r="FX375" s="64"/>
      <c r="FY375" s="64"/>
      <c r="FZ375" s="64"/>
      <c r="GA375" s="64"/>
      <c r="GB375" s="64"/>
      <c r="GC375" s="64"/>
      <c r="GD375" s="64"/>
      <c r="GE375" s="64"/>
      <c r="GF375" s="64"/>
      <c r="GG375" s="64"/>
      <c r="GH375" s="64"/>
      <c r="GI375" s="64"/>
      <c r="GJ375" s="64"/>
      <c r="GK375" s="64"/>
      <c r="GL375" s="64"/>
      <c r="GM375" s="64"/>
      <c r="GN375" s="64"/>
      <c r="GO375" s="64"/>
      <c r="GP375" s="64"/>
      <c r="GQ375" s="64"/>
      <c r="GR375" s="64"/>
      <c r="GS375" s="64"/>
      <c r="GT375" s="64"/>
      <c r="GU375" s="64"/>
      <c r="GV375" s="64"/>
      <c r="GW375" s="64"/>
      <c r="GX375" s="64"/>
      <c r="GY375" s="64"/>
      <c r="GZ375" s="64"/>
      <c r="HA375" s="64"/>
      <c r="HB375" s="64"/>
      <c r="HC375" s="64"/>
      <c r="HD375" s="64"/>
      <c r="HE375" s="64"/>
      <c r="HF375" s="64"/>
      <c r="HG375" s="64"/>
      <c r="HH375" s="64"/>
      <c r="HI375" s="64"/>
      <c r="HJ375" s="64"/>
      <c r="HK375" s="64"/>
      <c r="HL375" s="64"/>
      <c r="HM375" s="64"/>
      <c r="HN375" s="64"/>
      <c r="HO375" s="64"/>
      <c r="HP375" s="64"/>
      <c r="HQ375" s="64"/>
      <c r="HR375" s="64"/>
      <c r="HS375" s="64"/>
      <c r="HT375" s="64"/>
      <c r="HU375" s="64"/>
      <c r="HV375" s="64"/>
      <c r="HW375" s="64"/>
      <c r="HX375" s="64"/>
      <c r="HY375" s="64"/>
      <c r="HZ375" s="64"/>
      <c r="IA375" s="64"/>
      <c r="IB375" s="64"/>
      <c r="IC375" s="64"/>
      <c r="ID375" s="64"/>
      <c r="IE375" s="64"/>
      <c r="IF375" s="64"/>
      <c r="IG375" s="64"/>
      <c r="IH375" s="64"/>
      <c r="II375" s="64"/>
      <c r="IJ375" s="64"/>
      <c r="IK375" s="64"/>
      <c r="IL375" s="64"/>
      <c r="IM375" s="64"/>
      <c r="IN375" s="64"/>
      <c r="IO375" s="64"/>
      <c r="IP375" s="64"/>
      <c r="IQ375" s="64"/>
      <c r="IR375" s="64"/>
      <c r="IS375" s="64"/>
      <c r="IT375" s="64"/>
      <c r="IU375" s="64"/>
      <c r="IV375" s="64"/>
      <c r="IW375" s="64"/>
      <c r="IX375" s="64"/>
      <c r="IY375" s="64"/>
      <c r="IZ375" s="64"/>
      <c r="JA375" s="64"/>
      <c r="JB375" s="64"/>
      <c r="JC375" s="64"/>
      <c r="JD375" s="64"/>
      <c r="JE375" s="64"/>
      <c r="JF375" s="64"/>
      <c r="JG375" s="64"/>
      <c r="JH375" s="64"/>
      <c r="JI375" s="64"/>
    </row>
    <row r="376" spans="1:269" s="920" customFormat="1" x14ac:dyDescent="0.2">
      <c r="A376" s="116"/>
      <c r="B376" s="64"/>
      <c r="C376" s="64"/>
      <c r="D376" s="64"/>
      <c r="E376" s="64"/>
      <c r="F376" s="64"/>
      <c r="G376" s="64"/>
      <c r="H376" s="64"/>
      <c r="I376" s="64"/>
      <c r="J376" s="116"/>
      <c r="K376" s="116"/>
      <c r="L376" s="116"/>
      <c r="M376" s="116"/>
      <c r="N376" s="116"/>
      <c r="O376" s="116"/>
      <c r="P376" s="116"/>
      <c r="Q376" s="102"/>
      <c r="R376" s="102"/>
      <c r="S376" s="102"/>
      <c r="T376" s="102"/>
      <c r="U376" s="913"/>
      <c r="V376" s="114"/>
      <c r="W376" s="805"/>
      <c r="X376" s="805"/>
      <c r="Y376" s="805"/>
      <c r="Z376" s="914"/>
      <c r="AA376" s="102"/>
      <c r="AB376" s="102"/>
      <c r="AC376" s="102"/>
      <c r="AD376" s="102"/>
      <c r="AE376" s="102"/>
      <c r="AF376" s="102"/>
      <c r="AG376" s="102"/>
      <c r="AH376" s="102"/>
      <c r="AI376" s="102"/>
      <c r="AJ376" s="906"/>
      <c r="AK376" s="102"/>
      <c r="AL376" s="915"/>
      <c r="AM376" s="915"/>
      <c r="AN376" s="114"/>
      <c r="AO376" s="64"/>
      <c r="AP376" s="64"/>
      <c r="AQ376" s="64"/>
      <c r="AR376" s="916"/>
      <c r="AS376" s="916"/>
      <c r="AT376" s="916"/>
      <c r="AU376" s="917"/>
      <c r="AV376" s="917"/>
      <c r="AW376" s="917"/>
      <c r="AX376" s="918"/>
      <c r="AY376" s="916"/>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917"/>
      <c r="CA376" s="917"/>
      <c r="CB376" s="64"/>
      <c r="CC376" s="919"/>
      <c r="CD376" s="919"/>
      <c r="CE376" s="64"/>
      <c r="CF376" s="528"/>
      <c r="CG376" s="529"/>
      <c r="CH376" s="64"/>
      <c r="CI376" s="64"/>
      <c r="CJ376" s="64"/>
      <c r="CK376" s="64"/>
      <c r="CL376" s="64"/>
      <c r="CM376" s="64"/>
      <c r="CN376" s="64"/>
      <c r="CO376" s="64"/>
      <c r="CP376" s="64"/>
      <c r="CQ376" s="64"/>
      <c r="CR376" s="64"/>
      <c r="CS376" s="64"/>
      <c r="CT376" s="64"/>
      <c r="CU376" s="64"/>
      <c r="CV376" s="64"/>
      <c r="CW376" s="64"/>
      <c r="CX376" s="64"/>
      <c r="CY376" s="1011"/>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c r="FC376" s="64"/>
      <c r="FD376" s="64"/>
      <c r="FE376" s="64"/>
      <c r="FF376" s="64"/>
      <c r="FG376" s="64"/>
      <c r="FH376" s="64"/>
      <c r="FI376" s="64"/>
      <c r="FJ376" s="64"/>
      <c r="FK376" s="64"/>
      <c r="FL376" s="64"/>
      <c r="FM376" s="64"/>
      <c r="FN376" s="64"/>
      <c r="FO376" s="64"/>
      <c r="FP376" s="64"/>
      <c r="FQ376" s="64"/>
      <c r="FR376" s="64"/>
      <c r="FS376" s="64"/>
      <c r="FT376" s="64"/>
      <c r="FU376" s="64"/>
      <c r="FV376" s="64"/>
      <c r="FW376" s="64"/>
      <c r="FX376" s="64"/>
      <c r="FY376" s="64"/>
      <c r="FZ376" s="64"/>
      <c r="GA376" s="64"/>
      <c r="GB376" s="64"/>
      <c r="GC376" s="64"/>
      <c r="GD376" s="64"/>
      <c r="GE376" s="64"/>
      <c r="GF376" s="64"/>
      <c r="GG376" s="64"/>
      <c r="GH376" s="64"/>
      <c r="GI376" s="64"/>
      <c r="GJ376" s="64"/>
      <c r="GK376" s="64"/>
      <c r="GL376" s="64"/>
      <c r="GM376" s="64"/>
      <c r="GN376" s="64"/>
      <c r="GO376" s="64"/>
      <c r="GP376" s="64"/>
      <c r="GQ376" s="64"/>
      <c r="GR376" s="64"/>
      <c r="GS376" s="64"/>
      <c r="GT376" s="64"/>
      <c r="GU376" s="64"/>
      <c r="GV376" s="64"/>
      <c r="GW376" s="64"/>
      <c r="GX376" s="64"/>
      <c r="GY376" s="64"/>
      <c r="GZ376" s="64"/>
      <c r="HA376" s="64"/>
      <c r="HB376" s="64"/>
      <c r="HC376" s="64"/>
      <c r="HD376" s="64"/>
      <c r="HE376" s="64"/>
      <c r="HF376" s="64"/>
      <c r="HG376" s="64"/>
      <c r="HH376" s="64"/>
      <c r="HI376" s="64"/>
      <c r="HJ376" s="64"/>
      <c r="HK376" s="64"/>
      <c r="HL376" s="64"/>
      <c r="HM376" s="64"/>
      <c r="HN376" s="64"/>
      <c r="HO376" s="64"/>
      <c r="HP376" s="64"/>
      <c r="HQ376" s="64"/>
      <c r="HR376" s="64"/>
      <c r="HS376" s="64"/>
      <c r="HT376" s="64"/>
      <c r="HU376" s="64"/>
      <c r="HV376" s="64"/>
      <c r="HW376" s="64"/>
      <c r="HX376" s="64"/>
      <c r="HY376" s="64"/>
      <c r="HZ376" s="64"/>
      <c r="IA376" s="64"/>
      <c r="IB376" s="64"/>
      <c r="IC376" s="64"/>
      <c r="ID376" s="64"/>
      <c r="IE376" s="64"/>
      <c r="IF376" s="64"/>
      <c r="IG376" s="64"/>
      <c r="IH376" s="64"/>
      <c r="II376" s="64"/>
      <c r="IJ376" s="64"/>
      <c r="IK376" s="64"/>
      <c r="IL376" s="64"/>
      <c r="IM376" s="64"/>
      <c r="IN376" s="64"/>
      <c r="IO376" s="64"/>
      <c r="IP376" s="64"/>
      <c r="IQ376" s="64"/>
      <c r="IR376" s="64"/>
      <c r="IS376" s="64"/>
      <c r="IT376" s="64"/>
      <c r="IU376" s="64"/>
      <c r="IV376" s="64"/>
      <c r="IW376" s="64"/>
      <c r="IX376" s="64"/>
      <c r="IY376" s="64"/>
      <c r="IZ376" s="64"/>
      <c r="JA376" s="64"/>
      <c r="JB376" s="64"/>
      <c r="JC376" s="64"/>
      <c r="JD376" s="64"/>
      <c r="JE376" s="64"/>
      <c r="JF376" s="64"/>
      <c r="JG376" s="64"/>
      <c r="JH376" s="64"/>
      <c r="JI376" s="64"/>
    </row>
    <row r="377" spans="1:269" s="920" customFormat="1" x14ac:dyDescent="0.2">
      <c r="A377" s="116"/>
      <c r="B377" s="64"/>
      <c r="C377" s="64"/>
      <c r="D377" s="64"/>
      <c r="E377" s="64"/>
      <c r="F377" s="64"/>
      <c r="G377" s="64"/>
      <c r="H377" s="64"/>
      <c r="I377" s="64"/>
      <c r="J377" s="116"/>
      <c r="K377" s="116"/>
      <c r="L377" s="116"/>
      <c r="M377" s="116"/>
      <c r="N377" s="116"/>
      <c r="O377" s="116"/>
      <c r="P377" s="116"/>
      <c r="Q377" s="102"/>
      <c r="R377" s="102"/>
      <c r="S377" s="102"/>
      <c r="T377" s="102"/>
      <c r="U377" s="913"/>
      <c r="V377" s="114"/>
      <c r="W377" s="805"/>
      <c r="X377" s="805"/>
      <c r="Y377" s="805"/>
      <c r="Z377" s="914"/>
      <c r="AA377" s="102"/>
      <c r="AB377" s="102"/>
      <c r="AC377" s="102"/>
      <c r="AD377" s="102"/>
      <c r="AE377" s="102"/>
      <c r="AF377" s="102"/>
      <c r="AG377" s="102"/>
      <c r="AH377" s="102"/>
      <c r="AI377" s="102"/>
      <c r="AJ377" s="906"/>
      <c r="AK377" s="102"/>
      <c r="AL377" s="915"/>
      <c r="AM377" s="915"/>
      <c r="AN377" s="114"/>
      <c r="AO377" s="64"/>
      <c r="AP377" s="64"/>
      <c r="AQ377" s="64"/>
      <c r="AR377" s="916"/>
      <c r="AS377" s="916"/>
      <c r="AT377" s="916"/>
      <c r="AU377" s="917"/>
      <c r="AV377" s="917"/>
      <c r="AW377" s="917"/>
      <c r="AX377" s="918"/>
      <c r="AY377" s="916"/>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917"/>
      <c r="CA377" s="917"/>
      <c r="CB377" s="64"/>
      <c r="CC377" s="919"/>
      <c r="CD377" s="919"/>
      <c r="CE377" s="64"/>
      <c r="CF377" s="528"/>
      <c r="CG377" s="529"/>
      <c r="CH377" s="64"/>
      <c r="CI377" s="64"/>
      <c r="CJ377" s="64"/>
      <c r="CK377" s="64"/>
      <c r="CL377" s="64"/>
      <c r="CM377" s="64"/>
      <c r="CN377" s="64"/>
      <c r="CO377" s="64"/>
      <c r="CP377" s="64"/>
      <c r="CQ377" s="64"/>
      <c r="CR377" s="64"/>
      <c r="CS377" s="64"/>
      <c r="CT377" s="64"/>
      <c r="CU377" s="64"/>
      <c r="CV377" s="64"/>
      <c r="CW377" s="64"/>
      <c r="CX377" s="64"/>
      <c r="CY377" s="1011"/>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c r="FC377" s="64"/>
      <c r="FD377" s="64"/>
      <c r="FE377" s="64"/>
      <c r="FF377" s="64"/>
      <c r="FG377" s="64"/>
      <c r="FH377" s="64"/>
      <c r="FI377" s="64"/>
      <c r="FJ377" s="64"/>
      <c r="FK377" s="64"/>
      <c r="FL377" s="64"/>
      <c r="FM377" s="64"/>
      <c r="FN377" s="64"/>
      <c r="FO377" s="64"/>
      <c r="FP377" s="64"/>
      <c r="FQ377" s="64"/>
      <c r="FR377" s="64"/>
      <c r="FS377" s="64"/>
      <c r="FT377" s="64"/>
      <c r="FU377" s="64"/>
      <c r="FV377" s="64"/>
      <c r="FW377" s="64"/>
      <c r="FX377" s="64"/>
      <c r="FY377" s="64"/>
      <c r="FZ377" s="64"/>
      <c r="GA377" s="64"/>
      <c r="GB377" s="64"/>
      <c r="GC377" s="64"/>
      <c r="GD377" s="64"/>
      <c r="GE377" s="64"/>
      <c r="GF377" s="64"/>
      <c r="GG377" s="64"/>
      <c r="GH377" s="64"/>
      <c r="GI377" s="64"/>
      <c r="GJ377" s="64"/>
      <c r="GK377" s="64"/>
      <c r="GL377" s="64"/>
      <c r="GM377" s="64"/>
      <c r="GN377" s="64"/>
      <c r="GO377" s="64"/>
      <c r="GP377" s="64"/>
      <c r="GQ377" s="64"/>
      <c r="GR377" s="64"/>
      <c r="GS377" s="64"/>
      <c r="GT377" s="64"/>
      <c r="GU377" s="64"/>
      <c r="GV377" s="64"/>
      <c r="GW377" s="64"/>
      <c r="GX377" s="64"/>
      <c r="GY377" s="64"/>
      <c r="GZ377" s="64"/>
      <c r="HA377" s="64"/>
      <c r="HB377" s="64"/>
      <c r="HC377" s="64"/>
      <c r="HD377" s="64"/>
      <c r="HE377" s="64"/>
      <c r="HF377" s="64"/>
      <c r="HG377" s="64"/>
      <c r="HH377" s="64"/>
      <c r="HI377" s="64"/>
      <c r="HJ377" s="64"/>
      <c r="HK377" s="64"/>
      <c r="HL377" s="64"/>
      <c r="HM377" s="64"/>
      <c r="HN377" s="64"/>
      <c r="HO377" s="64"/>
      <c r="HP377" s="64"/>
      <c r="HQ377" s="64"/>
      <c r="HR377" s="64"/>
      <c r="HS377" s="64"/>
      <c r="HT377" s="64"/>
      <c r="HU377" s="64"/>
      <c r="HV377" s="64"/>
      <c r="HW377" s="64"/>
      <c r="HX377" s="64"/>
      <c r="HY377" s="64"/>
      <c r="HZ377" s="64"/>
      <c r="IA377" s="64"/>
      <c r="IB377" s="64"/>
      <c r="IC377" s="64"/>
      <c r="ID377" s="64"/>
      <c r="IE377" s="64"/>
      <c r="IF377" s="64"/>
      <c r="IG377" s="64"/>
      <c r="IH377" s="64"/>
      <c r="II377" s="64"/>
      <c r="IJ377" s="64"/>
      <c r="IK377" s="64"/>
      <c r="IL377" s="64"/>
      <c r="IM377" s="64"/>
      <c r="IN377" s="64"/>
      <c r="IO377" s="64"/>
      <c r="IP377" s="64"/>
      <c r="IQ377" s="64"/>
      <c r="IR377" s="64"/>
      <c r="IS377" s="64"/>
      <c r="IT377" s="64"/>
      <c r="IU377" s="64"/>
      <c r="IV377" s="64"/>
      <c r="IW377" s="64"/>
      <c r="IX377" s="64"/>
      <c r="IY377" s="64"/>
      <c r="IZ377" s="64"/>
      <c r="JA377" s="64"/>
      <c r="JB377" s="64"/>
      <c r="JC377" s="64"/>
      <c r="JD377" s="64"/>
      <c r="JE377" s="64"/>
      <c r="JF377" s="64"/>
      <c r="JG377" s="64"/>
      <c r="JH377" s="64"/>
      <c r="JI377" s="64"/>
    </row>
    <row r="378" spans="1:269" s="920" customFormat="1" x14ac:dyDescent="0.2">
      <c r="A378" s="116"/>
      <c r="B378" s="64"/>
      <c r="C378" s="64"/>
      <c r="D378" s="64"/>
      <c r="E378" s="64"/>
      <c r="F378" s="64"/>
      <c r="G378" s="64"/>
      <c r="H378" s="64"/>
      <c r="I378" s="64"/>
      <c r="J378" s="116"/>
      <c r="K378" s="116"/>
      <c r="L378" s="116"/>
      <c r="M378" s="116"/>
      <c r="N378" s="116"/>
      <c r="O378" s="116"/>
      <c r="P378" s="116"/>
      <c r="Q378" s="102"/>
      <c r="R378" s="102"/>
      <c r="S378" s="102"/>
      <c r="T378" s="102"/>
      <c r="U378" s="913"/>
      <c r="V378" s="114"/>
      <c r="W378" s="805"/>
      <c r="X378" s="805"/>
      <c r="Y378" s="805"/>
      <c r="Z378" s="914"/>
      <c r="AA378" s="102"/>
      <c r="AB378" s="102"/>
      <c r="AC378" s="102"/>
      <c r="AD378" s="102"/>
      <c r="AE378" s="102"/>
      <c r="AF378" s="102"/>
      <c r="AG378" s="102"/>
      <c r="AH378" s="102"/>
      <c r="AI378" s="102"/>
      <c r="AJ378" s="906"/>
      <c r="AK378" s="102"/>
      <c r="AL378" s="915"/>
      <c r="AM378" s="915"/>
      <c r="AN378" s="114"/>
      <c r="AO378" s="64"/>
      <c r="AP378" s="64"/>
      <c r="AQ378" s="64"/>
      <c r="AR378" s="916"/>
      <c r="AS378" s="916"/>
      <c r="AT378" s="916"/>
      <c r="AU378" s="917"/>
      <c r="AV378" s="917"/>
      <c r="AW378" s="917"/>
      <c r="AX378" s="918"/>
      <c r="AY378" s="916"/>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917"/>
      <c r="CA378" s="917"/>
      <c r="CB378" s="64"/>
      <c r="CC378" s="919"/>
      <c r="CD378" s="919"/>
      <c r="CE378" s="64"/>
      <c r="CF378" s="528"/>
      <c r="CG378" s="529"/>
      <c r="CH378" s="64"/>
      <c r="CI378" s="64"/>
      <c r="CJ378" s="64"/>
      <c r="CK378" s="64"/>
      <c r="CL378" s="64"/>
      <c r="CM378" s="64"/>
      <c r="CN378" s="64"/>
      <c r="CO378" s="64"/>
      <c r="CP378" s="64"/>
      <c r="CQ378" s="64"/>
      <c r="CR378" s="64"/>
      <c r="CS378" s="64"/>
      <c r="CT378" s="64"/>
      <c r="CU378" s="64"/>
      <c r="CV378" s="64"/>
      <c r="CW378" s="64"/>
      <c r="CX378" s="64"/>
      <c r="CY378" s="1011"/>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c r="FC378" s="64"/>
      <c r="FD378" s="64"/>
      <c r="FE378" s="64"/>
      <c r="FF378" s="64"/>
      <c r="FG378" s="64"/>
      <c r="FH378" s="64"/>
      <c r="FI378" s="64"/>
      <c r="FJ378" s="64"/>
      <c r="FK378" s="64"/>
      <c r="FL378" s="64"/>
      <c r="FM378" s="64"/>
      <c r="FN378" s="64"/>
      <c r="FO378" s="64"/>
      <c r="FP378" s="64"/>
      <c r="FQ378" s="64"/>
      <c r="FR378" s="64"/>
      <c r="FS378" s="64"/>
      <c r="FT378" s="64"/>
      <c r="FU378" s="64"/>
      <c r="FV378" s="64"/>
      <c r="FW378" s="64"/>
      <c r="FX378" s="64"/>
      <c r="FY378" s="64"/>
      <c r="FZ378" s="64"/>
      <c r="GA378" s="64"/>
      <c r="GB378" s="64"/>
      <c r="GC378" s="64"/>
      <c r="GD378" s="64"/>
      <c r="GE378" s="64"/>
      <c r="GF378" s="64"/>
      <c r="GG378" s="64"/>
      <c r="GH378" s="64"/>
      <c r="GI378" s="64"/>
      <c r="GJ378" s="64"/>
      <c r="GK378" s="64"/>
      <c r="GL378" s="64"/>
      <c r="GM378" s="64"/>
      <c r="GN378" s="64"/>
      <c r="GO378" s="64"/>
      <c r="GP378" s="64"/>
      <c r="GQ378" s="64"/>
      <c r="GR378" s="64"/>
      <c r="GS378" s="64"/>
      <c r="GT378" s="64"/>
      <c r="GU378" s="64"/>
      <c r="GV378" s="64"/>
      <c r="GW378" s="64"/>
      <c r="GX378" s="64"/>
      <c r="GY378" s="64"/>
      <c r="GZ378" s="64"/>
      <c r="HA378" s="64"/>
      <c r="HB378" s="64"/>
      <c r="HC378" s="64"/>
      <c r="HD378" s="64"/>
      <c r="HE378" s="64"/>
      <c r="HF378" s="64"/>
      <c r="HG378" s="64"/>
      <c r="HH378" s="64"/>
      <c r="HI378" s="64"/>
      <c r="HJ378" s="64"/>
      <c r="HK378" s="64"/>
      <c r="HL378" s="64"/>
      <c r="HM378" s="64"/>
      <c r="HN378" s="64"/>
      <c r="HO378" s="64"/>
      <c r="HP378" s="64"/>
      <c r="HQ378" s="64"/>
      <c r="HR378" s="64"/>
      <c r="HS378" s="64"/>
      <c r="HT378" s="64"/>
      <c r="HU378" s="64"/>
      <c r="HV378" s="64"/>
      <c r="HW378" s="64"/>
      <c r="HX378" s="64"/>
      <c r="HY378" s="64"/>
      <c r="HZ378" s="64"/>
      <c r="IA378" s="64"/>
      <c r="IB378" s="64"/>
      <c r="IC378" s="64"/>
      <c r="ID378" s="64"/>
      <c r="IE378" s="64"/>
      <c r="IF378" s="64"/>
      <c r="IG378" s="64"/>
      <c r="IH378" s="64"/>
      <c r="II378" s="64"/>
      <c r="IJ378" s="64"/>
      <c r="IK378" s="64"/>
      <c r="IL378" s="64"/>
      <c r="IM378" s="64"/>
      <c r="IN378" s="64"/>
      <c r="IO378" s="64"/>
      <c r="IP378" s="64"/>
      <c r="IQ378" s="64"/>
      <c r="IR378" s="64"/>
      <c r="IS378" s="64"/>
      <c r="IT378" s="64"/>
      <c r="IU378" s="64"/>
      <c r="IV378" s="64"/>
      <c r="IW378" s="64"/>
      <c r="IX378" s="64"/>
      <c r="IY378" s="64"/>
      <c r="IZ378" s="64"/>
      <c r="JA378" s="64"/>
      <c r="JB378" s="64"/>
      <c r="JC378" s="64"/>
      <c r="JD378" s="64"/>
      <c r="JE378" s="64"/>
      <c r="JF378" s="64"/>
      <c r="JG378" s="64"/>
      <c r="JH378" s="64"/>
      <c r="JI378" s="64"/>
    </row>
    <row r="379" spans="1:269" s="920" customFormat="1" x14ac:dyDescent="0.2">
      <c r="A379" s="116"/>
      <c r="B379" s="64"/>
      <c r="C379" s="64"/>
      <c r="D379" s="64"/>
      <c r="E379" s="64"/>
      <c r="F379" s="64"/>
      <c r="G379" s="64"/>
      <c r="H379" s="64"/>
      <c r="I379" s="64"/>
      <c r="J379" s="116"/>
      <c r="K379" s="116"/>
      <c r="L379" s="116"/>
      <c r="M379" s="116"/>
      <c r="N379" s="116"/>
      <c r="O379" s="116"/>
      <c r="P379" s="116"/>
      <c r="Q379" s="102"/>
      <c r="R379" s="102"/>
      <c r="S379" s="102"/>
      <c r="T379" s="102"/>
      <c r="U379" s="913"/>
      <c r="V379" s="114"/>
      <c r="W379" s="805"/>
      <c r="X379" s="805"/>
      <c r="Y379" s="805"/>
      <c r="Z379" s="914"/>
      <c r="AA379" s="102"/>
      <c r="AB379" s="102"/>
      <c r="AC379" s="102"/>
      <c r="AD379" s="102"/>
      <c r="AE379" s="102"/>
      <c r="AF379" s="102"/>
      <c r="AG379" s="102"/>
      <c r="AH379" s="102"/>
      <c r="AI379" s="102"/>
      <c r="AJ379" s="906"/>
      <c r="AK379" s="102"/>
      <c r="AL379" s="915"/>
      <c r="AM379" s="915"/>
      <c r="AN379" s="114"/>
      <c r="AO379" s="64"/>
      <c r="AP379" s="64"/>
      <c r="AQ379" s="64"/>
      <c r="AR379" s="916"/>
      <c r="AS379" s="916"/>
      <c r="AT379" s="916"/>
      <c r="AU379" s="917"/>
      <c r="AV379" s="917"/>
      <c r="AW379" s="917"/>
      <c r="AX379" s="918"/>
      <c r="AY379" s="916"/>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917"/>
      <c r="CA379" s="917"/>
      <c r="CB379" s="64"/>
      <c r="CC379" s="919"/>
      <c r="CD379" s="919"/>
      <c r="CE379" s="64"/>
      <c r="CF379" s="528"/>
      <c r="CG379" s="529"/>
      <c r="CH379" s="64"/>
      <c r="CI379" s="64"/>
      <c r="CJ379" s="64"/>
      <c r="CK379" s="64"/>
      <c r="CL379" s="64"/>
      <c r="CM379" s="64"/>
      <c r="CN379" s="64"/>
      <c r="CO379" s="64"/>
      <c r="CP379" s="64"/>
      <c r="CQ379" s="64"/>
      <c r="CR379" s="64"/>
      <c r="CS379" s="64"/>
      <c r="CT379" s="64"/>
      <c r="CU379" s="64"/>
      <c r="CV379" s="64"/>
      <c r="CW379" s="64"/>
      <c r="CX379" s="64"/>
      <c r="CY379" s="1011"/>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c r="FC379" s="64"/>
      <c r="FD379" s="64"/>
      <c r="FE379" s="64"/>
      <c r="FF379" s="64"/>
      <c r="FG379" s="64"/>
      <c r="FH379" s="64"/>
      <c r="FI379" s="64"/>
      <c r="FJ379" s="64"/>
      <c r="FK379" s="64"/>
      <c r="FL379" s="64"/>
      <c r="FM379" s="64"/>
      <c r="FN379" s="64"/>
      <c r="FO379" s="64"/>
      <c r="FP379" s="64"/>
      <c r="FQ379" s="64"/>
      <c r="FR379" s="64"/>
      <c r="FS379" s="64"/>
      <c r="FT379" s="64"/>
      <c r="FU379" s="64"/>
      <c r="FV379" s="64"/>
      <c r="FW379" s="64"/>
      <c r="FX379" s="64"/>
      <c r="FY379" s="64"/>
      <c r="FZ379" s="64"/>
      <c r="GA379" s="64"/>
      <c r="GB379" s="64"/>
      <c r="GC379" s="64"/>
      <c r="GD379" s="64"/>
      <c r="GE379" s="64"/>
      <c r="GF379" s="64"/>
      <c r="GG379" s="64"/>
      <c r="GH379" s="64"/>
      <c r="GI379" s="64"/>
      <c r="GJ379" s="64"/>
      <c r="GK379" s="64"/>
      <c r="GL379" s="64"/>
      <c r="GM379" s="64"/>
      <c r="GN379" s="64"/>
      <c r="GO379" s="64"/>
      <c r="GP379" s="64"/>
      <c r="GQ379" s="64"/>
      <c r="GR379" s="64"/>
      <c r="GS379" s="64"/>
      <c r="GT379" s="64"/>
      <c r="GU379" s="64"/>
      <c r="GV379" s="64"/>
      <c r="GW379" s="64"/>
      <c r="GX379" s="64"/>
      <c r="GY379" s="64"/>
      <c r="GZ379" s="64"/>
      <c r="HA379" s="64"/>
      <c r="HB379" s="64"/>
      <c r="HC379" s="64"/>
      <c r="HD379" s="64"/>
      <c r="HE379" s="64"/>
      <c r="HF379" s="64"/>
      <c r="HG379" s="64"/>
      <c r="HH379" s="64"/>
      <c r="HI379" s="64"/>
      <c r="HJ379" s="64"/>
      <c r="HK379" s="64"/>
      <c r="HL379" s="64"/>
      <c r="HM379" s="64"/>
      <c r="HN379" s="64"/>
      <c r="HO379" s="64"/>
      <c r="HP379" s="64"/>
      <c r="HQ379" s="64"/>
      <c r="HR379" s="64"/>
      <c r="HS379" s="64"/>
      <c r="HT379" s="64"/>
      <c r="HU379" s="64"/>
      <c r="HV379" s="64"/>
      <c r="HW379" s="64"/>
      <c r="HX379" s="64"/>
      <c r="HY379" s="64"/>
      <c r="HZ379" s="64"/>
      <c r="IA379" s="64"/>
      <c r="IB379" s="64"/>
      <c r="IC379" s="64"/>
      <c r="ID379" s="64"/>
      <c r="IE379" s="64"/>
      <c r="IF379" s="64"/>
      <c r="IG379" s="64"/>
      <c r="IH379" s="64"/>
      <c r="II379" s="64"/>
      <c r="IJ379" s="64"/>
      <c r="IK379" s="64"/>
      <c r="IL379" s="64"/>
      <c r="IM379" s="64"/>
      <c r="IN379" s="64"/>
      <c r="IO379" s="64"/>
      <c r="IP379" s="64"/>
      <c r="IQ379" s="64"/>
      <c r="IR379" s="64"/>
      <c r="IS379" s="64"/>
      <c r="IT379" s="64"/>
      <c r="IU379" s="64"/>
      <c r="IV379" s="64"/>
      <c r="IW379" s="64"/>
      <c r="IX379" s="64"/>
      <c r="IY379" s="64"/>
      <c r="IZ379" s="64"/>
      <c r="JA379" s="64"/>
      <c r="JB379" s="64"/>
      <c r="JC379" s="64"/>
      <c r="JD379" s="64"/>
      <c r="JE379" s="64"/>
      <c r="JF379" s="64"/>
      <c r="JG379" s="64"/>
      <c r="JH379" s="64"/>
      <c r="JI379" s="64"/>
    </row>
    <row r="380" spans="1:269" s="920" customFormat="1" x14ac:dyDescent="0.2">
      <c r="A380" s="116"/>
      <c r="B380" s="64"/>
      <c r="C380" s="64"/>
      <c r="D380" s="64"/>
      <c r="E380" s="64"/>
      <c r="F380" s="64"/>
      <c r="G380" s="64"/>
      <c r="H380" s="64"/>
      <c r="I380" s="64"/>
      <c r="J380" s="116"/>
      <c r="K380" s="116"/>
      <c r="L380" s="116"/>
      <c r="M380" s="116"/>
      <c r="N380" s="116"/>
      <c r="O380" s="116"/>
      <c r="P380" s="116"/>
      <c r="Q380" s="102"/>
      <c r="R380" s="102"/>
      <c r="S380" s="102"/>
      <c r="T380" s="102"/>
      <c r="U380" s="913"/>
      <c r="V380" s="114"/>
      <c r="W380" s="805"/>
      <c r="X380" s="805"/>
      <c r="Y380" s="805"/>
      <c r="Z380" s="914"/>
      <c r="AA380" s="102"/>
      <c r="AB380" s="102"/>
      <c r="AC380" s="102"/>
      <c r="AD380" s="102"/>
      <c r="AE380" s="102"/>
      <c r="AF380" s="102"/>
      <c r="AG380" s="102"/>
      <c r="AH380" s="102"/>
      <c r="AI380" s="102"/>
      <c r="AJ380" s="906"/>
      <c r="AK380" s="102"/>
      <c r="AL380" s="915"/>
      <c r="AM380" s="915"/>
      <c r="AN380" s="114"/>
      <c r="AO380" s="64"/>
      <c r="AP380" s="64"/>
      <c r="AQ380" s="64"/>
      <c r="AR380" s="916"/>
      <c r="AS380" s="916"/>
      <c r="AT380" s="916"/>
      <c r="AU380" s="917"/>
      <c r="AV380" s="917"/>
      <c r="AW380" s="917"/>
      <c r="AX380" s="918"/>
      <c r="AY380" s="916"/>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917"/>
      <c r="CA380" s="917"/>
      <c r="CB380" s="64"/>
      <c r="CC380" s="919"/>
      <c r="CD380" s="919"/>
      <c r="CE380" s="64"/>
      <c r="CF380" s="528"/>
      <c r="CG380" s="529"/>
      <c r="CH380" s="64"/>
      <c r="CI380" s="64"/>
      <c r="CJ380" s="64"/>
      <c r="CK380" s="64"/>
      <c r="CL380" s="64"/>
      <c r="CM380" s="64"/>
      <c r="CN380" s="64"/>
      <c r="CO380" s="64"/>
      <c r="CP380" s="64"/>
      <c r="CQ380" s="64"/>
      <c r="CR380" s="64"/>
      <c r="CS380" s="64"/>
      <c r="CT380" s="64"/>
      <c r="CU380" s="64"/>
      <c r="CV380" s="64"/>
      <c r="CW380" s="64"/>
      <c r="CX380" s="64"/>
      <c r="CY380" s="1011"/>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c r="FC380" s="64"/>
      <c r="FD380" s="64"/>
      <c r="FE380" s="64"/>
      <c r="FF380" s="64"/>
      <c r="FG380" s="64"/>
      <c r="FH380" s="64"/>
      <c r="FI380" s="64"/>
      <c r="FJ380" s="64"/>
      <c r="FK380" s="64"/>
      <c r="FL380" s="64"/>
      <c r="FM380" s="64"/>
      <c r="FN380" s="64"/>
      <c r="FO380" s="64"/>
      <c r="FP380" s="64"/>
      <c r="FQ380" s="64"/>
      <c r="FR380" s="64"/>
      <c r="FS380" s="64"/>
      <c r="FT380" s="64"/>
      <c r="FU380" s="64"/>
      <c r="FV380" s="64"/>
      <c r="FW380" s="64"/>
      <c r="FX380" s="64"/>
      <c r="FY380" s="64"/>
      <c r="FZ380" s="64"/>
      <c r="GA380" s="64"/>
      <c r="GB380" s="64"/>
      <c r="GC380" s="64"/>
      <c r="GD380" s="64"/>
      <c r="GE380" s="64"/>
      <c r="GF380" s="64"/>
      <c r="GG380" s="64"/>
      <c r="GH380" s="64"/>
      <c r="GI380" s="64"/>
      <c r="GJ380" s="64"/>
      <c r="GK380" s="64"/>
      <c r="GL380" s="64"/>
      <c r="GM380" s="64"/>
      <c r="GN380" s="64"/>
      <c r="GO380" s="64"/>
      <c r="GP380" s="64"/>
      <c r="GQ380" s="64"/>
      <c r="GR380" s="64"/>
      <c r="GS380" s="64"/>
      <c r="GT380" s="64"/>
      <c r="GU380" s="64"/>
      <c r="GV380" s="64"/>
      <c r="GW380" s="64"/>
      <c r="GX380" s="64"/>
      <c r="GY380" s="64"/>
      <c r="GZ380" s="64"/>
      <c r="HA380" s="64"/>
      <c r="HB380" s="64"/>
      <c r="HC380" s="64"/>
      <c r="HD380" s="64"/>
      <c r="HE380" s="64"/>
      <c r="HF380" s="64"/>
      <c r="HG380" s="64"/>
      <c r="HH380" s="64"/>
      <c r="HI380" s="64"/>
      <c r="HJ380" s="64"/>
      <c r="HK380" s="64"/>
      <c r="HL380" s="64"/>
      <c r="HM380" s="64"/>
      <c r="HN380" s="64"/>
      <c r="HO380" s="64"/>
      <c r="HP380" s="64"/>
      <c r="HQ380" s="64"/>
      <c r="HR380" s="64"/>
      <c r="HS380" s="64"/>
      <c r="HT380" s="64"/>
      <c r="HU380" s="64"/>
      <c r="HV380" s="64"/>
      <c r="HW380" s="64"/>
      <c r="HX380" s="64"/>
      <c r="HY380" s="64"/>
      <c r="HZ380" s="64"/>
      <c r="IA380" s="64"/>
      <c r="IB380" s="64"/>
      <c r="IC380" s="64"/>
      <c r="ID380" s="64"/>
      <c r="IE380" s="64"/>
      <c r="IF380" s="64"/>
      <c r="IG380" s="64"/>
      <c r="IH380" s="64"/>
      <c r="II380" s="64"/>
      <c r="IJ380" s="64"/>
      <c r="IK380" s="64"/>
      <c r="IL380" s="64"/>
      <c r="IM380" s="64"/>
      <c r="IN380" s="64"/>
      <c r="IO380" s="64"/>
      <c r="IP380" s="64"/>
      <c r="IQ380" s="64"/>
      <c r="IR380" s="64"/>
      <c r="IS380" s="64"/>
      <c r="IT380" s="64"/>
      <c r="IU380" s="64"/>
      <c r="IV380" s="64"/>
      <c r="IW380" s="64"/>
      <c r="IX380" s="64"/>
      <c r="IY380" s="64"/>
      <c r="IZ380" s="64"/>
      <c r="JA380" s="64"/>
      <c r="JB380" s="64"/>
      <c r="JC380" s="64"/>
      <c r="JD380" s="64"/>
      <c r="JE380" s="64"/>
      <c r="JF380" s="64"/>
      <c r="JG380" s="64"/>
      <c r="JH380" s="64"/>
      <c r="JI380" s="64"/>
    </row>
    <row r="381" spans="1:269" s="920" customFormat="1" x14ac:dyDescent="0.2">
      <c r="A381" s="116"/>
      <c r="B381" s="64"/>
      <c r="C381" s="64"/>
      <c r="D381" s="64"/>
      <c r="E381" s="64"/>
      <c r="F381" s="64"/>
      <c r="G381" s="64"/>
      <c r="H381" s="64"/>
      <c r="I381" s="64"/>
      <c r="J381" s="116"/>
      <c r="K381" s="116"/>
      <c r="L381" s="116"/>
      <c r="M381" s="116"/>
      <c r="N381" s="116"/>
      <c r="O381" s="116"/>
      <c r="P381" s="116"/>
      <c r="Q381" s="102"/>
      <c r="R381" s="102"/>
      <c r="S381" s="102"/>
      <c r="T381" s="102"/>
      <c r="U381" s="913"/>
      <c r="V381" s="114"/>
      <c r="W381" s="805"/>
      <c r="X381" s="805"/>
      <c r="Y381" s="805"/>
      <c r="Z381" s="914"/>
      <c r="AA381" s="102"/>
      <c r="AB381" s="102"/>
      <c r="AC381" s="102"/>
      <c r="AD381" s="102"/>
      <c r="AE381" s="102"/>
      <c r="AF381" s="102"/>
      <c r="AG381" s="102"/>
      <c r="AH381" s="102"/>
      <c r="AI381" s="102"/>
      <c r="AJ381" s="906"/>
      <c r="AK381" s="102"/>
      <c r="AL381" s="915"/>
      <c r="AM381" s="915"/>
      <c r="AN381" s="114"/>
      <c r="AO381" s="64"/>
      <c r="AP381" s="64"/>
      <c r="AQ381" s="64"/>
      <c r="AR381" s="916"/>
      <c r="AS381" s="916"/>
      <c r="AT381" s="916"/>
      <c r="AU381" s="917"/>
      <c r="AV381" s="917"/>
      <c r="AW381" s="917"/>
      <c r="AX381" s="918"/>
      <c r="AY381" s="916"/>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917"/>
      <c r="CA381" s="917"/>
      <c r="CB381" s="64"/>
      <c r="CC381" s="919"/>
      <c r="CD381" s="919"/>
      <c r="CE381" s="64"/>
      <c r="CF381" s="528"/>
      <c r="CG381" s="529"/>
      <c r="CH381" s="64"/>
      <c r="CI381" s="64"/>
      <c r="CJ381" s="64"/>
      <c r="CK381" s="64"/>
      <c r="CL381" s="64"/>
      <c r="CM381" s="64"/>
      <c r="CN381" s="64"/>
      <c r="CO381" s="64"/>
      <c r="CP381" s="64"/>
      <c r="CQ381" s="64"/>
      <c r="CR381" s="64"/>
      <c r="CS381" s="64"/>
      <c r="CT381" s="64"/>
      <c r="CU381" s="64"/>
      <c r="CV381" s="64"/>
      <c r="CW381" s="64"/>
      <c r="CX381" s="64"/>
      <c r="CY381" s="1011"/>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c r="FC381" s="64"/>
      <c r="FD381" s="64"/>
      <c r="FE381" s="64"/>
      <c r="FF381" s="64"/>
      <c r="FG381" s="64"/>
      <c r="FH381" s="64"/>
      <c r="FI381" s="64"/>
      <c r="FJ381" s="64"/>
      <c r="FK381" s="64"/>
      <c r="FL381" s="64"/>
      <c r="FM381" s="64"/>
      <c r="FN381" s="64"/>
      <c r="FO381" s="64"/>
      <c r="FP381" s="64"/>
      <c r="FQ381" s="64"/>
      <c r="FR381" s="64"/>
      <c r="FS381" s="64"/>
      <c r="FT381" s="64"/>
      <c r="FU381" s="64"/>
      <c r="FV381" s="64"/>
      <c r="FW381" s="64"/>
      <c r="FX381" s="64"/>
      <c r="FY381" s="64"/>
      <c r="FZ381" s="64"/>
      <c r="GA381" s="64"/>
      <c r="GB381" s="64"/>
      <c r="GC381" s="64"/>
      <c r="GD381" s="64"/>
      <c r="GE381" s="64"/>
      <c r="GF381" s="64"/>
      <c r="GG381" s="64"/>
      <c r="GH381" s="64"/>
      <c r="GI381" s="64"/>
      <c r="GJ381" s="64"/>
      <c r="GK381" s="64"/>
      <c r="GL381" s="64"/>
      <c r="GM381" s="64"/>
      <c r="GN381" s="64"/>
      <c r="GO381" s="64"/>
      <c r="GP381" s="64"/>
      <c r="GQ381" s="64"/>
      <c r="GR381" s="64"/>
      <c r="GS381" s="64"/>
      <c r="GT381" s="64"/>
      <c r="GU381" s="64"/>
      <c r="GV381" s="64"/>
      <c r="GW381" s="64"/>
      <c r="GX381" s="64"/>
      <c r="GY381" s="64"/>
      <c r="GZ381" s="64"/>
      <c r="HA381" s="64"/>
      <c r="HB381" s="64"/>
      <c r="HC381" s="64"/>
      <c r="HD381" s="64"/>
      <c r="HE381" s="64"/>
      <c r="HF381" s="64"/>
      <c r="HG381" s="64"/>
      <c r="HH381" s="64"/>
      <c r="HI381" s="64"/>
      <c r="HJ381" s="64"/>
      <c r="HK381" s="64"/>
      <c r="HL381" s="64"/>
      <c r="HM381" s="64"/>
      <c r="HN381" s="64"/>
      <c r="HO381" s="64"/>
      <c r="HP381" s="64"/>
      <c r="HQ381" s="64"/>
      <c r="HR381" s="64"/>
      <c r="HS381" s="64"/>
      <c r="HT381" s="64"/>
      <c r="HU381" s="64"/>
      <c r="HV381" s="64"/>
      <c r="HW381" s="64"/>
      <c r="HX381" s="64"/>
      <c r="HY381" s="64"/>
      <c r="HZ381" s="64"/>
      <c r="IA381" s="64"/>
      <c r="IB381" s="64"/>
      <c r="IC381" s="64"/>
      <c r="ID381" s="64"/>
      <c r="IE381" s="64"/>
      <c r="IF381" s="64"/>
      <c r="IG381" s="64"/>
      <c r="IH381" s="64"/>
      <c r="II381" s="64"/>
      <c r="IJ381" s="64"/>
      <c r="IK381" s="64"/>
      <c r="IL381" s="64"/>
      <c r="IM381" s="64"/>
      <c r="IN381" s="64"/>
      <c r="IO381" s="64"/>
      <c r="IP381" s="64"/>
      <c r="IQ381" s="64"/>
      <c r="IR381" s="64"/>
      <c r="IS381" s="64"/>
      <c r="IT381" s="64"/>
      <c r="IU381" s="64"/>
      <c r="IV381" s="64"/>
      <c r="IW381" s="64"/>
      <c r="IX381" s="64"/>
      <c r="IY381" s="64"/>
      <c r="IZ381" s="64"/>
      <c r="JA381" s="64"/>
      <c r="JB381" s="64"/>
      <c r="JC381" s="64"/>
      <c r="JD381" s="64"/>
      <c r="JE381" s="64"/>
      <c r="JF381" s="64"/>
      <c r="JG381" s="64"/>
      <c r="JH381" s="64"/>
      <c r="JI381" s="64"/>
    </row>
    <row r="382" spans="1:269" s="920" customFormat="1" x14ac:dyDescent="0.2">
      <c r="A382" s="116"/>
      <c r="B382" s="64"/>
      <c r="C382" s="64"/>
      <c r="D382" s="64"/>
      <c r="E382" s="64"/>
      <c r="F382" s="64"/>
      <c r="G382" s="64"/>
      <c r="H382" s="64"/>
      <c r="I382" s="64"/>
      <c r="J382" s="116"/>
      <c r="K382" s="116"/>
      <c r="L382" s="116"/>
      <c r="M382" s="116"/>
      <c r="N382" s="116"/>
      <c r="O382" s="116"/>
      <c r="P382" s="116"/>
      <c r="Q382" s="102"/>
      <c r="R382" s="102"/>
      <c r="S382" s="102"/>
      <c r="T382" s="102"/>
      <c r="U382" s="913"/>
      <c r="V382" s="114"/>
      <c r="W382" s="805"/>
      <c r="X382" s="805"/>
      <c r="Y382" s="805"/>
      <c r="Z382" s="914"/>
      <c r="AA382" s="102"/>
      <c r="AB382" s="102"/>
      <c r="AC382" s="102"/>
      <c r="AD382" s="102"/>
      <c r="AE382" s="102"/>
      <c r="AF382" s="102"/>
      <c r="AG382" s="102"/>
      <c r="AH382" s="102"/>
      <c r="AI382" s="102"/>
      <c r="AJ382" s="906"/>
      <c r="AK382" s="102"/>
      <c r="AL382" s="915"/>
      <c r="AM382" s="915"/>
      <c r="AN382" s="114"/>
      <c r="AO382" s="64"/>
      <c r="AP382" s="64"/>
      <c r="AQ382" s="64"/>
      <c r="AR382" s="916"/>
      <c r="AS382" s="916"/>
      <c r="AT382" s="916"/>
      <c r="AU382" s="917"/>
      <c r="AV382" s="917"/>
      <c r="AW382" s="917"/>
      <c r="AX382" s="918"/>
      <c r="AY382" s="916"/>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917"/>
      <c r="CA382" s="917"/>
      <c r="CB382" s="64"/>
      <c r="CC382" s="919"/>
      <c r="CD382" s="919"/>
      <c r="CE382" s="64"/>
      <c r="CF382" s="528"/>
      <c r="CG382" s="529"/>
      <c r="CH382" s="64"/>
      <c r="CI382" s="64"/>
      <c r="CJ382" s="64"/>
      <c r="CK382" s="64"/>
      <c r="CL382" s="64"/>
      <c r="CM382" s="64"/>
      <c r="CN382" s="64"/>
      <c r="CO382" s="64"/>
      <c r="CP382" s="64"/>
      <c r="CQ382" s="64"/>
      <c r="CR382" s="64"/>
      <c r="CS382" s="64"/>
      <c r="CT382" s="64"/>
      <c r="CU382" s="64"/>
      <c r="CV382" s="64"/>
      <c r="CW382" s="64"/>
      <c r="CX382" s="64"/>
      <c r="CY382" s="1011"/>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c r="FC382" s="64"/>
      <c r="FD382" s="64"/>
      <c r="FE382" s="64"/>
      <c r="FF382" s="64"/>
      <c r="FG382" s="64"/>
      <c r="FH382" s="64"/>
      <c r="FI382" s="64"/>
      <c r="FJ382" s="64"/>
      <c r="FK382" s="64"/>
      <c r="FL382" s="64"/>
      <c r="FM382" s="64"/>
      <c r="FN382" s="64"/>
      <c r="FO382" s="64"/>
      <c r="FP382" s="64"/>
      <c r="FQ382" s="64"/>
      <c r="FR382" s="64"/>
      <c r="FS382" s="64"/>
      <c r="FT382" s="64"/>
      <c r="FU382" s="64"/>
      <c r="FV382" s="64"/>
      <c r="FW382" s="64"/>
      <c r="FX382" s="64"/>
      <c r="FY382" s="64"/>
      <c r="FZ382" s="64"/>
      <c r="GA382" s="64"/>
      <c r="GB382" s="64"/>
      <c r="GC382" s="64"/>
      <c r="GD382" s="64"/>
      <c r="GE382" s="64"/>
      <c r="GF382" s="64"/>
      <c r="GG382" s="64"/>
      <c r="GH382" s="64"/>
      <c r="GI382" s="64"/>
      <c r="GJ382" s="64"/>
      <c r="GK382" s="64"/>
      <c r="GL382" s="64"/>
      <c r="GM382" s="64"/>
      <c r="GN382" s="64"/>
      <c r="GO382" s="64"/>
      <c r="GP382" s="64"/>
      <c r="GQ382" s="64"/>
      <c r="GR382" s="64"/>
      <c r="GS382" s="64"/>
      <c r="GT382" s="64"/>
      <c r="GU382" s="64"/>
      <c r="GV382" s="64"/>
      <c r="GW382" s="64"/>
      <c r="GX382" s="64"/>
      <c r="GY382" s="64"/>
      <c r="GZ382" s="64"/>
      <c r="HA382" s="64"/>
      <c r="HB382" s="64"/>
      <c r="HC382" s="64"/>
      <c r="HD382" s="64"/>
      <c r="HE382" s="64"/>
      <c r="HF382" s="64"/>
      <c r="HG382" s="64"/>
      <c r="HH382" s="64"/>
      <c r="HI382" s="64"/>
      <c r="HJ382" s="64"/>
      <c r="HK382" s="64"/>
      <c r="HL382" s="64"/>
      <c r="HM382" s="64"/>
      <c r="HN382" s="64"/>
      <c r="HO382" s="64"/>
      <c r="HP382" s="64"/>
      <c r="HQ382" s="64"/>
      <c r="HR382" s="64"/>
      <c r="HS382" s="64"/>
      <c r="HT382" s="64"/>
      <c r="HU382" s="64"/>
      <c r="HV382" s="64"/>
      <c r="HW382" s="64"/>
      <c r="HX382" s="64"/>
      <c r="HY382" s="64"/>
      <c r="HZ382" s="64"/>
      <c r="IA382" s="64"/>
      <c r="IB382" s="64"/>
      <c r="IC382" s="64"/>
      <c r="ID382" s="64"/>
      <c r="IE382" s="64"/>
      <c r="IF382" s="64"/>
      <c r="IG382" s="64"/>
      <c r="IH382" s="64"/>
      <c r="II382" s="64"/>
      <c r="IJ382" s="64"/>
      <c r="IK382" s="64"/>
      <c r="IL382" s="64"/>
      <c r="IM382" s="64"/>
      <c r="IN382" s="64"/>
      <c r="IO382" s="64"/>
      <c r="IP382" s="64"/>
      <c r="IQ382" s="64"/>
      <c r="IR382" s="64"/>
      <c r="IS382" s="64"/>
      <c r="IT382" s="64"/>
      <c r="IU382" s="64"/>
      <c r="IV382" s="64"/>
      <c r="IW382" s="64"/>
      <c r="IX382" s="64"/>
      <c r="IY382" s="64"/>
      <c r="IZ382" s="64"/>
      <c r="JA382" s="64"/>
      <c r="JB382" s="64"/>
      <c r="JC382" s="64"/>
      <c r="JD382" s="64"/>
      <c r="JE382" s="64"/>
      <c r="JF382" s="64"/>
      <c r="JG382" s="64"/>
      <c r="JH382" s="64"/>
      <c r="JI382" s="64"/>
    </row>
    <row r="383" spans="1:269" s="920" customFormat="1" x14ac:dyDescent="0.2">
      <c r="A383" s="116"/>
      <c r="B383" s="64"/>
      <c r="C383" s="64"/>
      <c r="D383" s="64"/>
      <c r="E383" s="64"/>
      <c r="F383" s="64"/>
      <c r="G383" s="64"/>
      <c r="H383" s="64"/>
      <c r="I383" s="64"/>
      <c r="J383" s="116"/>
      <c r="K383" s="116"/>
      <c r="L383" s="116"/>
      <c r="M383" s="116"/>
      <c r="N383" s="116"/>
      <c r="O383" s="116"/>
      <c r="P383" s="116"/>
      <c r="Q383" s="102"/>
      <c r="R383" s="102"/>
      <c r="S383" s="102"/>
      <c r="T383" s="102"/>
      <c r="U383" s="913"/>
      <c r="V383" s="114"/>
      <c r="W383" s="805"/>
      <c r="X383" s="805"/>
      <c r="Y383" s="805"/>
      <c r="Z383" s="914"/>
      <c r="AA383" s="102"/>
      <c r="AB383" s="102"/>
      <c r="AC383" s="102"/>
      <c r="AD383" s="102"/>
      <c r="AE383" s="102"/>
      <c r="AF383" s="102"/>
      <c r="AG383" s="102"/>
      <c r="AH383" s="102"/>
      <c r="AI383" s="102"/>
      <c r="AJ383" s="906"/>
      <c r="AK383" s="102"/>
      <c r="AL383" s="915"/>
      <c r="AM383" s="915"/>
      <c r="AN383" s="114"/>
      <c r="AO383" s="64"/>
      <c r="AP383" s="64"/>
      <c r="AQ383" s="64"/>
      <c r="AR383" s="916"/>
      <c r="AS383" s="916"/>
      <c r="AT383" s="916"/>
      <c r="AU383" s="917"/>
      <c r="AV383" s="917"/>
      <c r="AW383" s="917"/>
      <c r="AX383" s="918"/>
      <c r="AY383" s="916"/>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917"/>
      <c r="CA383" s="917"/>
      <c r="CB383" s="64"/>
      <c r="CC383" s="919"/>
      <c r="CD383" s="919"/>
      <c r="CE383" s="64"/>
      <c r="CF383" s="528"/>
      <c r="CG383" s="529"/>
      <c r="CH383" s="64"/>
      <c r="CI383" s="64"/>
      <c r="CJ383" s="64"/>
      <c r="CK383" s="64"/>
      <c r="CL383" s="64"/>
      <c r="CM383" s="64"/>
      <c r="CN383" s="64"/>
      <c r="CO383" s="64"/>
      <c r="CP383" s="64"/>
      <c r="CQ383" s="64"/>
      <c r="CR383" s="64"/>
      <c r="CS383" s="64"/>
      <c r="CT383" s="64"/>
      <c r="CU383" s="64"/>
      <c r="CV383" s="64"/>
      <c r="CW383" s="64"/>
      <c r="CX383" s="64"/>
      <c r="CY383" s="1011"/>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c r="FC383" s="64"/>
      <c r="FD383" s="64"/>
      <c r="FE383" s="64"/>
      <c r="FF383" s="64"/>
      <c r="FG383" s="64"/>
      <c r="FH383" s="64"/>
      <c r="FI383" s="64"/>
      <c r="FJ383" s="64"/>
      <c r="FK383" s="64"/>
      <c r="FL383" s="64"/>
      <c r="FM383" s="64"/>
      <c r="FN383" s="64"/>
      <c r="FO383" s="64"/>
      <c r="FP383" s="64"/>
      <c r="FQ383" s="64"/>
      <c r="FR383" s="64"/>
      <c r="FS383" s="64"/>
      <c r="FT383" s="64"/>
      <c r="FU383" s="64"/>
      <c r="FV383" s="64"/>
      <c r="FW383" s="64"/>
      <c r="FX383" s="64"/>
      <c r="FY383" s="64"/>
      <c r="FZ383" s="64"/>
      <c r="GA383" s="64"/>
      <c r="GB383" s="64"/>
      <c r="GC383" s="64"/>
      <c r="GD383" s="64"/>
      <c r="GE383" s="64"/>
      <c r="GF383" s="64"/>
      <c r="GG383" s="64"/>
      <c r="GH383" s="64"/>
      <c r="GI383" s="64"/>
      <c r="GJ383" s="64"/>
      <c r="GK383" s="64"/>
      <c r="GL383" s="64"/>
      <c r="GM383" s="64"/>
      <c r="GN383" s="64"/>
      <c r="GO383" s="64"/>
      <c r="GP383" s="64"/>
      <c r="GQ383" s="64"/>
      <c r="GR383" s="64"/>
      <c r="GS383" s="64"/>
      <c r="GT383" s="64"/>
      <c r="GU383" s="64"/>
      <c r="GV383" s="64"/>
      <c r="GW383" s="64"/>
      <c r="GX383" s="64"/>
      <c r="GY383" s="64"/>
      <c r="GZ383" s="64"/>
      <c r="HA383" s="64"/>
      <c r="HB383" s="64"/>
      <c r="HC383" s="64"/>
      <c r="HD383" s="64"/>
      <c r="HE383" s="64"/>
      <c r="HF383" s="64"/>
      <c r="HG383" s="64"/>
      <c r="HH383" s="64"/>
      <c r="HI383" s="64"/>
      <c r="HJ383" s="64"/>
      <c r="HK383" s="64"/>
      <c r="HL383" s="64"/>
      <c r="HM383" s="64"/>
      <c r="HN383" s="64"/>
      <c r="HO383" s="64"/>
      <c r="HP383" s="64"/>
      <c r="HQ383" s="64"/>
      <c r="HR383" s="64"/>
      <c r="HS383" s="64"/>
      <c r="HT383" s="64"/>
      <c r="HU383" s="64"/>
      <c r="HV383" s="64"/>
      <c r="HW383" s="64"/>
      <c r="HX383" s="64"/>
      <c r="HY383" s="64"/>
      <c r="HZ383" s="64"/>
      <c r="IA383" s="64"/>
      <c r="IB383" s="64"/>
      <c r="IC383" s="64"/>
      <c r="ID383" s="64"/>
      <c r="IE383" s="64"/>
      <c r="IF383" s="64"/>
      <c r="IG383" s="64"/>
      <c r="IH383" s="64"/>
      <c r="II383" s="64"/>
      <c r="IJ383" s="64"/>
      <c r="IK383" s="64"/>
      <c r="IL383" s="64"/>
      <c r="IM383" s="64"/>
      <c r="IN383" s="64"/>
      <c r="IO383" s="64"/>
      <c r="IP383" s="64"/>
      <c r="IQ383" s="64"/>
      <c r="IR383" s="64"/>
      <c r="IS383" s="64"/>
      <c r="IT383" s="64"/>
      <c r="IU383" s="64"/>
      <c r="IV383" s="64"/>
      <c r="IW383" s="64"/>
      <c r="IX383" s="64"/>
      <c r="IY383" s="64"/>
      <c r="IZ383" s="64"/>
      <c r="JA383" s="64"/>
      <c r="JB383" s="64"/>
      <c r="JC383" s="64"/>
      <c r="JD383" s="64"/>
      <c r="JE383" s="64"/>
      <c r="JF383" s="64"/>
      <c r="JG383" s="64"/>
      <c r="JH383" s="64"/>
      <c r="JI383" s="64"/>
    </row>
    <row r="384" spans="1:269" s="920" customFormat="1" x14ac:dyDescent="0.2">
      <c r="A384" s="116"/>
      <c r="B384" s="64"/>
      <c r="C384" s="64"/>
      <c r="D384" s="64"/>
      <c r="E384" s="64"/>
      <c r="F384" s="64"/>
      <c r="G384" s="64"/>
      <c r="H384" s="64"/>
      <c r="I384" s="64"/>
      <c r="J384" s="116"/>
      <c r="K384" s="116"/>
      <c r="L384" s="116"/>
      <c r="M384" s="116"/>
      <c r="N384" s="116"/>
      <c r="O384" s="116"/>
      <c r="P384" s="116"/>
      <c r="Q384" s="102"/>
      <c r="R384" s="102"/>
      <c r="S384" s="102"/>
      <c r="T384" s="102"/>
      <c r="U384" s="913"/>
      <c r="V384" s="114"/>
      <c r="W384" s="805"/>
      <c r="X384" s="805"/>
      <c r="Y384" s="805"/>
      <c r="Z384" s="914"/>
      <c r="AA384" s="102"/>
      <c r="AB384" s="102"/>
      <c r="AC384" s="102"/>
      <c r="AD384" s="102"/>
      <c r="AE384" s="102"/>
      <c r="AF384" s="102"/>
      <c r="AG384" s="102"/>
      <c r="AH384" s="102"/>
      <c r="AI384" s="102"/>
      <c r="AJ384" s="906"/>
      <c r="AK384" s="102"/>
      <c r="AL384" s="915"/>
      <c r="AM384" s="915"/>
      <c r="AN384" s="114"/>
      <c r="AO384" s="64"/>
      <c r="AP384" s="64"/>
      <c r="AQ384" s="64"/>
      <c r="AR384" s="916"/>
      <c r="AS384" s="916"/>
      <c r="AT384" s="916"/>
      <c r="AU384" s="917"/>
      <c r="AV384" s="917"/>
      <c r="AW384" s="917"/>
      <c r="AX384" s="918"/>
      <c r="AY384" s="916"/>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917"/>
      <c r="CA384" s="917"/>
      <c r="CB384" s="64"/>
      <c r="CC384" s="919"/>
      <c r="CD384" s="919"/>
      <c r="CE384" s="64"/>
      <c r="CF384" s="528"/>
      <c r="CG384" s="529"/>
      <c r="CH384" s="64"/>
      <c r="CI384" s="64"/>
      <c r="CJ384" s="64"/>
      <c r="CK384" s="64"/>
      <c r="CL384" s="64"/>
      <c r="CM384" s="64"/>
      <c r="CN384" s="64"/>
      <c r="CO384" s="64"/>
      <c r="CP384" s="64"/>
      <c r="CQ384" s="64"/>
      <c r="CR384" s="64"/>
      <c r="CS384" s="64"/>
      <c r="CT384" s="64"/>
      <c r="CU384" s="64"/>
      <c r="CV384" s="64"/>
      <c r="CW384" s="64"/>
      <c r="CX384" s="64"/>
      <c r="CY384" s="1011"/>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c r="FC384" s="64"/>
      <c r="FD384" s="64"/>
      <c r="FE384" s="64"/>
      <c r="FF384" s="64"/>
      <c r="FG384" s="64"/>
      <c r="FH384" s="64"/>
      <c r="FI384" s="64"/>
      <c r="FJ384" s="64"/>
      <c r="FK384" s="64"/>
      <c r="FL384" s="64"/>
      <c r="FM384" s="64"/>
      <c r="FN384" s="64"/>
      <c r="FO384" s="64"/>
      <c r="FP384" s="64"/>
      <c r="FQ384" s="64"/>
      <c r="FR384" s="64"/>
      <c r="FS384" s="64"/>
      <c r="FT384" s="64"/>
      <c r="FU384" s="64"/>
      <c r="FV384" s="64"/>
      <c r="FW384" s="64"/>
      <c r="FX384" s="64"/>
      <c r="FY384" s="64"/>
      <c r="FZ384" s="64"/>
      <c r="GA384" s="64"/>
      <c r="GB384" s="64"/>
      <c r="GC384" s="64"/>
      <c r="GD384" s="64"/>
      <c r="GE384" s="64"/>
      <c r="GF384" s="64"/>
      <c r="GG384" s="64"/>
      <c r="GH384" s="64"/>
      <c r="GI384" s="64"/>
      <c r="GJ384" s="64"/>
      <c r="GK384" s="64"/>
      <c r="GL384" s="64"/>
      <c r="GM384" s="64"/>
      <c r="GN384" s="64"/>
      <c r="GO384" s="64"/>
      <c r="GP384" s="64"/>
      <c r="GQ384" s="64"/>
      <c r="GR384" s="64"/>
      <c r="GS384" s="64"/>
      <c r="GT384" s="64"/>
      <c r="GU384" s="64"/>
      <c r="GV384" s="64"/>
      <c r="GW384" s="64"/>
      <c r="GX384" s="64"/>
      <c r="GY384" s="64"/>
      <c r="GZ384" s="64"/>
      <c r="HA384" s="64"/>
      <c r="HB384" s="64"/>
      <c r="HC384" s="64"/>
      <c r="HD384" s="64"/>
      <c r="HE384" s="64"/>
      <c r="HF384" s="64"/>
      <c r="HG384" s="64"/>
      <c r="HH384" s="64"/>
      <c r="HI384" s="64"/>
      <c r="HJ384" s="64"/>
      <c r="HK384" s="64"/>
      <c r="HL384" s="64"/>
      <c r="HM384" s="64"/>
      <c r="HN384" s="64"/>
      <c r="HO384" s="64"/>
      <c r="HP384" s="64"/>
      <c r="HQ384" s="64"/>
      <c r="HR384" s="64"/>
      <c r="HS384" s="64"/>
      <c r="HT384" s="64"/>
      <c r="HU384" s="64"/>
      <c r="HV384" s="64"/>
      <c r="HW384" s="64"/>
      <c r="HX384" s="64"/>
      <c r="HY384" s="64"/>
      <c r="HZ384" s="64"/>
      <c r="IA384" s="64"/>
      <c r="IB384" s="64"/>
      <c r="IC384" s="64"/>
      <c r="ID384" s="64"/>
      <c r="IE384" s="64"/>
      <c r="IF384" s="64"/>
      <c r="IG384" s="64"/>
      <c r="IH384" s="64"/>
      <c r="II384" s="64"/>
      <c r="IJ384" s="64"/>
      <c r="IK384" s="64"/>
      <c r="IL384" s="64"/>
      <c r="IM384" s="64"/>
      <c r="IN384" s="64"/>
      <c r="IO384" s="64"/>
      <c r="IP384" s="64"/>
      <c r="IQ384" s="64"/>
      <c r="IR384" s="64"/>
      <c r="IS384" s="64"/>
      <c r="IT384" s="64"/>
      <c r="IU384" s="64"/>
      <c r="IV384" s="64"/>
      <c r="IW384" s="64"/>
      <c r="IX384" s="64"/>
      <c r="IY384" s="64"/>
      <c r="IZ384" s="64"/>
      <c r="JA384" s="64"/>
      <c r="JB384" s="64"/>
      <c r="JC384" s="64"/>
      <c r="JD384" s="64"/>
      <c r="JE384" s="64"/>
      <c r="JF384" s="64"/>
      <c r="JG384" s="64"/>
      <c r="JH384" s="64"/>
      <c r="JI384" s="64"/>
    </row>
    <row r="385" spans="1:269" s="920" customFormat="1" x14ac:dyDescent="0.2">
      <c r="A385" s="116"/>
      <c r="B385" s="64"/>
      <c r="C385" s="64"/>
      <c r="D385" s="64"/>
      <c r="E385" s="64"/>
      <c r="F385" s="64"/>
      <c r="G385" s="64"/>
      <c r="H385" s="64"/>
      <c r="I385" s="64"/>
      <c r="J385" s="116"/>
      <c r="K385" s="116"/>
      <c r="L385" s="116"/>
      <c r="M385" s="116"/>
      <c r="N385" s="116"/>
      <c r="O385" s="116"/>
      <c r="P385" s="116"/>
      <c r="Q385" s="102"/>
      <c r="R385" s="102"/>
      <c r="S385" s="102"/>
      <c r="T385" s="102"/>
      <c r="U385" s="913"/>
      <c r="V385" s="114"/>
      <c r="W385" s="805"/>
      <c r="X385" s="805"/>
      <c r="Y385" s="805"/>
      <c r="Z385" s="914"/>
      <c r="AA385" s="102"/>
      <c r="AB385" s="102"/>
      <c r="AC385" s="102"/>
      <c r="AD385" s="102"/>
      <c r="AE385" s="102"/>
      <c r="AF385" s="102"/>
      <c r="AG385" s="102"/>
      <c r="AH385" s="102"/>
      <c r="AI385" s="102"/>
      <c r="AJ385" s="906"/>
      <c r="AK385" s="102"/>
      <c r="AL385" s="915"/>
      <c r="AM385" s="915"/>
      <c r="AN385" s="114"/>
      <c r="AO385" s="64"/>
      <c r="AP385" s="64"/>
      <c r="AQ385" s="64"/>
      <c r="AR385" s="916"/>
      <c r="AS385" s="916"/>
      <c r="AT385" s="916"/>
      <c r="AU385" s="917"/>
      <c r="AV385" s="917"/>
      <c r="AW385" s="917"/>
      <c r="AX385" s="918"/>
      <c r="AY385" s="916"/>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917"/>
      <c r="CA385" s="917"/>
      <c r="CB385" s="64"/>
      <c r="CC385" s="919"/>
      <c r="CD385" s="919"/>
      <c r="CE385" s="64"/>
      <c r="CF385" s="528"/>
      <c r="CG385" s="529"/>
      <c r="CH385" s="64"/>
      <c r="CI385" s="64"/>
      <c r="CJ385" s="64"/>
      <c r="CK385" s="64"/>
      <c r="CL385" s="64"/>
      <c r="CM385" s="64"/>
      <c r="CN385" s="64"/>
      <c r="CO385" s="64"/>
      <c r="CP385" s="64"/>
      <c r="CQ385" s="64"/>
      <c r="CR385" s="64"/>
      <c r="CS385" s="64"/>
      <c r="CT385" s="64"/>
      <c r="CU385" s="64"/>
      <c r="CV385" s="64"/>
      <c r="CW385" s="64"/>
      <c r="CX385" s="64"/>
      <c r="CY385" s="1011"/>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c r="FC385" s="64"/>
      <c r="FD385" s="64"/>
      <c r="FE385" s="64"/>
      <c r="FF385" s="64"/>
      <c r="FG385" s="64"/>
      <c r="FH385" s="64"/>
      <c r="FI385" s="64"/>
      <c r="FJ385" s="64"/>
      <c r="FK385" s="64"/>
      <c r="FL385" s="64"/>
      <c r="FM385" s="64"/>
      <c r="FN385" s="64"/>
      <c r="FO385" s="64"/>
      <c r="FP385" s="64"/>
      <c r="FQ385" s="64"/>
      <c r="FR385" s="64"/>
      <c r="FS385" s="64"/>
      <c r="FT385" s="64"/>
      <c r="FU385" s="64"/>
      <c r="FV385" s="64"/>
      <c r="FW385" s="64"/>
      <c r="FX385" s="64"/>
      <c r="FY385" s="64"/>
      <c r="FZ385" s="64"/>
      <c r="GA385" s="64"/>
      <c r="GB385" s="64"/>
      <c r="GC385" s="64"/>
      <c r="GD385" s="64"/>
      <c r="GE385" s="64"/>
      <c r="GF385" s="64"/>
      <c r="GG385" s="64"/>
      <c r="GH385" s="64"/>
      <c r="GI385" s="64"/>
      <c r="GJ385" s="64"/>
      <c r="GK385" s="64"/>
      <c r="GL385" s="64"/>
      <c r="GM385" s="64"/>
      <c r="GN385" s="64"/>
      <c r="GO385" s="64"/>
      <c r="GP385" s="64"/>
      <c r="GQ385" s="64"/>
      <c r="GR385" s="64"/>
      <c r="GS385" s="64"/>
      <c r="GT385" s="64"/>
      <c r="GU385" s="64"/>
      <c r="GV385" s="64"/>
      <c r="GW385" s="64"/>
      <c r="GX385" s="64"/>
      <c r="GY385" s="64"/>
      <c r="GZ385" s="64"/>
      <c r="HA385" s="64"/>
      <c r="HB385" s="64"/>
      <c r="HC385" s="64"/>
      <c r="HD385" s="64"/>
      <c r="HE385" s="64"/>
      <c r="HF385" s="64"/>
      <c r="HG385" s="64"/>
      <c r="HH385" s="64"/>
      <c r="HI385" s="64"/>
      <c r="HJ385" s="64"/>
      <c r="HK385" s="64"/>
      <c r="HL385" s="64"/>
      <c r="HM385" s="64"/>
      <c r="HN385" s="64"/>
      <c r="HO385" s="64"/>
      <c r="HP385" s="64"/>
      <c r="HQ385" s="64"/>
      <c r="HR385" s="64"/>
      <c r="HS385" s="64"/>
      <c r="HT385" s="64"/>
      <c r="HU385" s="64"/>
      <c r="HV385" s="64"/>
      <c r="HW385" s="64"/>
      <c r="HX385" s="64"/>
      <c r="HY385" s="64"/>
      <c r="HZ385" s="64"/>
      <c r="IA385" s="64"/>
      <c r="IB385" s="64"/>
      <c r="IC385" s="64"/>
      <c r="ID385" s="64"/>
      <c r="IE385" s="64"/>
      <c r="IF385" s="64"/>
      <c r="IG385" s="64"/>
      <c r="IH385" s="64"/>
      <c r="II385" s="64"/>
      <c r="IJ385" s="64"/>
      <c r="IK385" s="64"/>
      <c r="IL385" s="64"/>
      <c r="IM385" s="64"/>
      <c r="IN385" s="64"/>
      <c r="IO385" s="64"/>
      <c r="IP385" s="64"/>
      <c r="IQ385" s="64"/>
      <c r="IR385" s="64"/>
      <c r="IS385" s="64"/>
      <c r="IT385" s="64"/>
      <c r="IU385" s="64"/>
      <c r="IV385" s="64"/>
      <c r="IW385" s="64"/>
      <c r="IX385" s="64"/>
      <c r="IY385" s="64"/>
      <c r="IZ385" s="64"/>
      <c r="JA385" s="64"/>
      <c r="JB385" s="64"/>
      <c r="JC385" s="64"/>
      <c r="JD385" s="64"/>
      <c r="JE385" s="64"/>
      <c r="JF385" s="64"/>
      <c r="JG385" s="64"/>
      <c r="JH385" s="64"/>
      <c r="JI385" s="64"/>
    </row>
    <row r="386" spans="1:269" s="920" customFormat="1" x14ac:dyDescent="0.2">
      <c r="A386" s="116"/>
      <c r="B386" s="64"/>
      <c r="C386" s="64"/>
      <c r="D386" s="64"/>
      <c r="E386" s="64"/>
      <c r="F386" s="64"/>
      <c r="G386" s="64"/>
      <c r="H386" s="64"/>
      <c r="I386" s="64"/>
      <c r="J386" s="116"/>
      <c r="K386" s="116"/>
      <c r="L386" s="116"/>
      <c r="M386" s="116"/>
      <c r="N386" s="116"/>
      <c r="O386" s="116"/>
      <c r="P386" s="116"/>
      <c r="Q386" s="102"/>
      <c r="R386" s="102"/>
      <c r="S386" s="102"/>
      <c r="T386" s="102"/>
      <c r="U386" s="913"/>
      <c r="V386" s="114"/>
      <c r="W386" s="805"/>
      <c r="X386" s="805"/>
      <c r="Y386" s="805"/>
      <c r="Z386" s="914"/>
      <c r="AA386" s="102"/>
      <c r="AB386" s="102"/>
      <c r="AC386" s="102"/>
      <c r="AD386" s="102"/>
      <c r="AE386" s="102"/>
      <c r="AF386" s="102"/>
      <c r="AG386" s="102"/>
      <c r="AH386" s="102"/>
      <c r="AI386" s="102"/>
      <c r="AJ386" s="906"/>
      <c r="AK386" s="102"/>
      <c r="AL386" s="915"/>
      <c r="AM386" s="915"/>
      <c r="AN386" s="114"/>
      <c r="AO386" s="64"/>
      <c r="AP386" s="64"/>
      <c r="AQ386" s="64"/>
      <c r="AR386" s="916"/>
      <c r="AS386" s="916"/>
      <c r="AT386" s="916"/>
      <c r="AU386" s="917"/>
      <c r="AV386" s="917"/>
      <c r="AW386" s="917"/>
      <c r="AX386" s="918"/>
      <c r="AY386" s="916"/>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917"/>
      <c r="CA386" s="917"/>
      <c r="CB386" s="64"/>
      <c r="CC386" s="919"/>
      <c r="CD386" s="919"/>
      <c r="CE386" s="64"/>
      <c r="CF386" s="528"/>
      <c r="CG386" s="529"/>
      <c r="CH386" s="64"/>
      <c r="CI386" s="64"/>
      <c r="CJ386" s="64"/>
      <c r="CK386" s="64"/>
      <c r="CL386" s="64"/>
      <c r="CM386" s="64"/>
      <c r="CN386" s="64"/>
      <c r="CO386" s="64"/>
      <c r="CP386" s="64"/>
      <c r="CQ386" s="64"/>
      <c r="CR386" s="64"/>
      <c r="CS386" s="64"/>
      <c r="CT386" s="64"/>
      <c r="CU386" s="64"/>
      <c r="CV386" s="64"/>
      <c r="CW386" s="64"/>
      <c r="CX386" s="64"/>
      <c r="CY386" s="1011"/>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c r="FC386" s="64"/>
      <c r="FD386" s="64"/>
      <c r="FE386" s="64"/>
      <c r="FF386" s="64"/>
      <c r="FG386" s="64"/>
      <c r="FH386" s="64"/>
      <c r="FI386" s="64"/>
      <c r="FJ386" s="64"/>
      <c r="FK386" s="64"/>
      <c r="FL386" s="64"/>
      <c r="FM386" s="64"/>
      <c r="FN386" s="64"/>
      <c r="FO386" s="64"/>
      <c r="FP386" s="64"/>
      <c r="FQ386" s="64"/>
      <c r="FR386" s="64"/>
      <c r="FS386" s="64"/>
      <c r="FT386" s="64"/>
      <c r="FU386" s="64"/>
      <c r="FV386" s="64"/>
      <c r="FW386" s="64"/>
      <c r="FX386" s="64"/>
      <c r="FY386" s="64"/>
      <c r="FZ386" s="64"/>
      <c r="GA386" s="64"/>
      <c r="GB386" s="64"/>
      <c r="GC386" s="64"/>
      <c r="GD386" s="64"/>
      <c r="GE386" s="64"/>
      <c r="GF386" s="64"/>
      <c r="GG386" s="64"/>
      <c r="GH386" s="64"/>
      <c r="GI386" s="64"/>
      <c r="GJ386" s="64"/>
      <c r="GK386" s="64"/>
      <c r="GL386" s="64"/>
      <c r="GM386" s="64"/>
      <c r="GN386" s="64"/>
      <c r="GO386" s="64"/>
      <c r="GP386" s="64"/>
      <c r="GQ386" s="64"/>
      <c r="GR386" s="64"/>
      <c r="GS386" s="64"/>
      <c r="GT386" s="64"/>
      <c r="GU386" s="64"/>
      <c r="GV386" s="64"/>
      <c r="GW386" s="64"/>
      <c r="GX386" s="64"/>
      <c r="GY386" s="64"/>
      <c r="GZ386" s="64"/>
      <c r="HA386" s="64"/>
      <c r="HB386" s="64"/>
      <c r="HC386" s="64"/>
      <c r="HD386" s="64"/>
      <c r="HE386" s="64"/>
      <c r="HF386" s="64"/>
      <c r="HG386" s="64"/>
      <c r="HH386" s="64"/>
      <c r="HI386" s="64"/>
      <c r="HJ386" s="64"/>
      <c r="HK386" s="64"/>
      <c r="HL386" s="64"/>
      <c r="HM386" s="64"/>
      <c r="HN386" s="64"/>
      <c r="HO386" s="64"/>
      <c r="HP386" s="64"/>
      <c r="HQ386" s="64"/>
      <c r="HR386" s="64"/>
      <c r="HS386" s="64"/>
      <c r="HT386" s="64"/>
      <c r="HU386" s="64"/>
      <c r="HV386" s="64"/>
      <c r="HW386" s="64"/>
      <c r="HX386" s="64"/>
      <c r="HY386" s="64"/>
      <c r="HZ386" s="64"/>
      <c r="IA386" s="64"/>
      <c r="IB386" s="64"/>
      <c r="IC386" s="64"/>
      <c r="ID386" s="64"/>
      <c r="IE386" s="64"/>
      <c r="IF386" s="64"/>
      <c r="IG386" s="64"/>
      <c r="IH386" s="64"/>
      <c r="II386" s="64"/>
      <c r="IJ386" s="64"/>
      <c r="IK386" s="64"/>
      <c r="IL386" s="64"/>
      <c r="IM386" s="64"/>
      <c r="IN386" s="64"/>
      <c r="IO386" s="64"/>
      <c r="IP386" s="64"/>
      <c r="IQ386" s="64"/>
      <c r="IR386" s="64"/>
      <c r="IS386" s="64"/>
      <c r="IT386" s="64"/>
      <c r="IU386" s="64"/>
      <c r="IV386" s="64"/>
      <c r="IW386" s="64"/>
      <c r="IX386" s="64"/>
      <c r="IY386" s="64"/>
      <c r="IZ386" s="64"/>
      <c r="JA386" s="64"/>
      <c r="JB386" s="64"/>
      <c r="JC386" s="64"/>
      <c r="JD386" s="64"/>
      <c r="JE386" s="64"/>
      <c r="JF386" s="64"/>
      <c r="JG386" s="64"/>
      <c r="JH386" s="64"/>
      <c r="JI386" s="64"/>
    </row>
    <row r="387" spans="1:269" s="920" customFormat="1" x14ac:dyDescent="0.2">
      <c r="A387" s="116"/>
      <c r="B387" s="64"/>
      <c r="C387" s="64"/>
      <c r="D387" s="64"/>
      <c r="E387" s="64"/>
      <c r="F387" s="64"/>
      <c r="G387" s="64"/>
      <c r="H387" s="64"/>
      <c r="I387" s="64"/>
      <c r="J387" s="116"/>
      <c r="K387" s="116"/>
      <c r="L387" s="116"/>
      <c r="M387" s="116"/>
      <c r="N387" s="116"/>
      <c r="O387" s="116"/>
      <c r="P387" s="116"/>
      <c r="Q387" s="102"/>
      <c r="R387" s="102"/>
      <c r="S387" s="102"/>
      <c r="T387" s="102"/>
      <c r="U387" s="913"/>
      <c r="V387" s="114"/>
      <c r="W387" s="805"/>
      <c r="X387" s="805"/>
      <c r="Y387" s="805"/>
      <c r="Z387" s="914"/>
      <c r="AA387" s="102"/>
      <c r="AB387" s="102"/>
      <c r="AC387" s="102"/>
      <c r="AD387" s="102"/>
      <c r="AE387" s="102"/>
      <c r="AF387" s="102"/>
      <c r="AG387" s="102"/>
      <c r="AH387" s="102"/>
      <c r="AI387" s="102"/>
      <c r="AJ387" s="906"/>
      <c r="AK387" s="102"/>
      <c r="AL387" s="915"/>
      <c r="AM387" s="915"/>
      <c r="AN387" s="114"/>
      <c r="AO387" s="64"/>
      <c r="AP387" s="64"/>
      <c r="AQ387" s="64"/>
      <c r="AR387" s="916"/>
      <c r="AS387" s="916"/>
      <c r="AT387" s="916"/>
      <c r="AU387" s="917"/>
      <c r="AV387" s="917"/>
      <c r="AW387" s="917"/>
      <c r="AX387" s="918"/>
      <c r="AY387" s="916"/>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917"/>
      <c r="CA387" s="917"/>
      <c r="CB387" s="64"/>
      <c r="CC387" s="919"/>
      <c r="CD387" s="919"/>
      <c r="CE387" s="64"/>
      <c r="CF387" s="528"/>
      <c r="CG387" s="529"/>
      <c r="CH387" s="64"/>
      <c r="CI387" s="64"/>
      <c r="CJ387" s="64"/>
      <c r="CK387" s="64"/>
      <c r="CL387" s="64"/>
      <c r="CM387" s="64"/>
      <c r="CN387" s="64"/>
      <c r="CO387" s="64"/>
      <c r="CP387" s="64"/>
      <c r="CQ387" s="64"/>
      <c r="CR387" s="64"/>
      <c r="CS387" s="64"/>
      <c r="CT387" s="64"/>
      <c r="CU387" s="64"/>
      <c r="CV387" s="64"/>
      <c r="CW387" s="64"/>
      <c r="CX387" s="64"/>
      <c r="CY387" s="1011"/>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c r="FC387" s="64"/>
      <c r="FD387" s="64"/>
      <c r="FE387" s="64"/>
      <c r="FF387" s="64"/>
      <c r="FG387" s="64"/>
      <c r="FH387" s="64"/>
      <c r="FI387" s="64"/>
      <c r="FJ387" s="64"/>
      <c r="FK387" s="64"/>
      <c r="FL387" s="64"/>
      <c r="FM387" s="64"/>
      <c r="FN387" s="64"/>
      <c r="FO387" s="64"/>
      <c r="FP387" s="64"/>
      <c r="FQ387" s="64"/>
      <c r="FR387" s="64"/>
      <c r="FS387" s="64"/>
      <c r="FT387" s="64"/>
      <c r="FU387" s="64"/>
      <c r="FV387" s="64"/>
      <c r="FW387" s="64"/>
      <c r="FX387" s="64"/>
      <c r="FY387" s="64"/>
      <c r="FZ387" s="64"/>
      <c r="GA387" s="64"/>
      <c r="GB387" s="64"/>
      <c r="GC387" s="64"/>
      <c r="GD387" s="64"/>
      <c r="GE387" s="64"/>
      <c r="GF387" s="64"/>
      <c r="GG387" s="64"/>
      <c r="GH387" s="64"/>
      <c r="GI387" s="64"/>
      <c r="GJ387" s="64"/>
      <c r="GK387" s="64"/>
      <c r="GL387" s="64"/>
      <c r="GM387" s="64"/>
      <c r="GN387" s="64"/>
      <c r="GO387" s="64"/>
      <c r="GP387" s="64"/>
      <c r="GQ387" s="64"/>
      <c r="GR387" s="64"/>
      <c r="GS387" s="64"/>
      <c r="GT387" s="64"/>
      <c r="GU387" s="64"/>
      <c r="GV387" s="64"/>
      <c r="GW387" s="64"/>
      <c r="GX387" s="64"/>
      <c r="GY387" s="64"/>
      <c r="GZ387" s="64"/>
      <c r="HA387" s="64"/>
      <c r="HB387" s="64"/>
      <c r="HC387" s="64"/>
      <c r="HD387" s="64"/>
      <c r="HE387" s="64"/>
      <c r="HF387" s="64"/>
      <c r="HG387" s="64"/>
      <c r="HH387" s="64"/>
      <c r="HI387" s="64"/>
      <c r="HJ387" s="64"/>
      <c r="HK387" s="64"/>
      <c r="HL387" s="64"/>
      <c r="HM387" s="64"/>
      <c r="HN387" s="64"/>
      <c r="HO387" s="64"/>
      <c r="HP387" s="64"/>
      <c r="HQ387" s="64"/>
      <c r="HR387" s="64"/>
      <c r="HS387" s="64"/>
      <c r="HT387" s="64"/>
      <c r="HU387" s="64"/>
      <c r="HV387" s="64"/>
      <c r="HW387" s="64"/>
      <c r="HX387" s="64"/>
      <c r="HY387" s="64"/>
      <c r="HZ387" s="64"/>
      <c r="IA387" s="64"/>
      <c r="IB387" s="64"/>
      <c r="IC387" s="64"/>
      <c r="ID387" s="64"/>
      <c r="IE387" s="64"/>
      <c r="IF387" s="64"/>
      <c r="IG387" s="64"/>
      <c r="IH387" s="64"/>
      <c r="II387" s="64"/>
      <c r="IJ387" s="64"/>
      <c r="IK387" s="64"/>
      <c r="IL387" s="64"/>
      <c r="IM387" s="64"/>
      <c r="IN387" s="64"/>
      <c r="IO387" s="64"/>
      <c r="IP387" s="64"/>
      <c r="IQ387" s="64"/>
      <c r="IR387" s="64"/>
      <c r="IS387" s="64"/>
      <c r="IT387" s="64"/>
      <c r="IU387" s="64"/>
      <c r="IV387" s="64"/>
      <c r="IW387" s="64"/>
      <c r="IX387" s="64"/>
      <c r="IY387" s="64"/>
      <c r="IZ387" s="64"/>
      <c r="JA387" s="64"/>
      <c r="JB387" s="64"/>
      <c r="JC387" s="64"/>
      <c r="JD387" s="64"/>
      <c r="JE387" s="64"/>
      <c r="JF387" s="64"/>
      <c r="JG387" s="64"/>
      <c r="JH387" s="64"/>
      <c r="JI387" s="64"/>
    </row>
    <row r="388" spans="1:269" s="920" customFormat="1" x14ac:dyDescent="0.2">
      <c r="A388" s="116"/>
      <c r="B388" s="64"/>
      <c r="C388" s="64"/>
      <c r="D388" s="64"/>
      <c r="E388" s="64"/>
      <c r="F388" s="64"/>
      <c r="G388" s="64"/>
      <c r="H388" s="64"/>
      <c r="I388" s="64"/>
      <c r="J388" s="116"/>
      <c r="K388" s="116"/>
      <c r="L388" s="116"/>
      <c r="M388" s="116"/>
      <c r="N388" s="116"/>
      <c r="O388" s="116"/>
      <c r="P388" s="116"/>
      <c r="Q388" s="102"/>
      <c r="R388" s="102"/>
      <c r="S388" s="102"/>
      <c r="T388" s="102"/>
      <c r="U388" s="913"/>
      <c r="V388" s="114"/>
      <c r="W388" s="805"/>
      <c r="X388" s="805"/>
      <c r="Y388" s="805"/>
      <c r="Z388" s="914"/>
      <c r="AA388" s="102"/>
      <c r="AB388" s="102"/>
      <c r="AC388" s="102"/>
      <c r="AD388" s="102"/>
      <c r="AE388" s="102"/>
      <c r="AF388" s="102"/>
      <c r="AG388" s="102"/>
      <c r="AH388" s="102"/>
      <c r="AI388" s="102"/>
      <c r="AJ388" s="906"/>
      <c r="AK388" s="102"/>
      <c r="AL388" s="915"/>
      <c r="AM388" s="915"/>
      <c r="AN388" s="114"/>
      <c r="AO388" s="64"/>
      <c r="AP388" s="64"/>
      <c r="AQ388" s="64"/>
      <c r="AR388" s="916"/>
      <c r="AS388" s="916"/>
      <c r="AT388" s="916"/>
      <c r="AU388" s="917"/>
      <c r="AV388" s="917"/>
      <c r="AW388" s="917"/>
      <c r="AX388" s="918"/>
      <c r="AY388" s="916"/>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917"/>
      <c r="CA388" s="917"/>
      <c r="CB388" s="64"/>
      <c r="CC388" s="919"/>
      <c r="CD388" s="919"/>
      <c r="CE388" s="64"/>
      <c r="CF388" s="528"/>
      <c r="CG388" s="529"/>
      <c r="CH388" s="64"/>
      <c r="CI388" s="64"/>
      <c r="CJ388" s="64"/>
      <c r="CK388" s="64"/>
      <c r="CL388" s="64"/>
      <c r="CM388" s="64"/>
      <c r="CN388" s="64"/>
      <c r="CO388" s="64"/>
      <c r="CP388" s="64"/>
      <c r="CQ388" s="64"/>
      <c r="CR388" s="64"/>
      <c r="CS388" s="64"/>
      <c r="CT388" s="64"/>
      <c r="CU388" s="64"/>
      <c r="CV388" s="64"/>
      <c r="CW388" s="64"/>
      <c r="CX388" s="64"/>
      <c r="CY388" s="1011"/>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c r="FC388" s="64"/>
      <c r="FD388" s="64"/>
      <c r="FE388" s="64"/>
      <c r="FF388" s="64"/>
      <c r="FG388" s="64"/>
      <c r="FH388" s="64"/>
      <c r="FI388" s="64"/>
      <c r="FJ388" s="64"/>
      <c r="FK388" s="64"/>
      <c r="FL388" s="64"/>
      <c r="FM388" s="64"/>
      <c r="FN388" s="64"/>
      <c r="FO388" s="64"/>
      <c r="FP388" s="64"/>
      <c r="FQ388" s="64"/>
      <c r="FR388" s="64"/>
      <c r="FS388" s="64"/>
      <c r="FT388" s="64"/>
      <c r="FU388" s="64"/>
      <c r="FV388" s="64"/>
      <c r="FW388" s="64"/>
      <c r="FX388" s="64"/>
      <c r="FY388" s="64"/>
      <c r="FZ388" s="64"/>
      <c r="GA388" s="64"/>
      <c r="GB388" s="64"/>
      <c r="GC388" s="64"/>
      <c r="GD388" s="64"/>
      <c r="GE388" s="64"/>
      <c r="GF388" s="64"/>
      <c r="GG388" s="64"/>
      <c r="GH388" s="64"/>
      <c r="GI388" s="64"/>
      <c r="GJ388" s="64"/>
      <c r="GK388" s="64"/>
      <c r="GL388" s="64"/>
      <c r="GM388" s="64"/>
      <c r="GN388" s="64"/>
      <c r="GO388" s="64"/>
      <c r="GP388" s="64"/>
      <c r="GQ388" s="64"/>
      <c r="GR388" s="64"/>
      <c r="GS388" s="64"/>
      <c r="GT388" s="64"/>
      <c r="GU388" s="64"/>
      <c r="GV388" s="64"/>
      <c r="GW388" s="64"/>
      <c r="GX388" s="64"/>
      <c r="GY388" s="64"/>
      <c r="GZ388" s="64"/>
      <c r="HA388" s="64"/>
      <c r="HB388" s="64"/>
      <c r="HC388" s="64"/>
      <c r="HD388" s="64"/>
      <c r="HE388" s="64"/>
      <c r="HF388" s="64"/>
      <c r="HG388" s="64"/>
      <c r="HH388" s="64"/>
      <c r="HI388" s="64"/>
      <c r="HJ388" s="64"/>
      <c r="HK388" s="64"/>
      <c r="HL388" s="64"/>
      <c r="HM388" s="64"/>
      <c r="HN388" s="64"/>
      <c r="HO388" s="64"/>
      <c r="HP388" s="64"/>
      <c r="HQ388" s="64"/>
      <c r="HR388" s="64"/>
      <c r="HS388" s="64"/>
      <c r="HT388" s="64"/>
      <c r="HU388" s="64"/>
      <c r="HV388" s="64"/>
      <c r="HW388" s="64"/>
      <c r="HX388" s="64"/>
      <c r="HY388" s="64"/>
      <c r="HZ388" s="64"/>
      <c r="IA388" s="64"/>
      <c r="IB388" s="64"/>
      <c r="IC388" s="64"/>
      <c r="ID388" s="64"/>
      <c r="IE388" s="64"/>
      <c r="IF388" s="64"/>
      <c r="IG388" s="64"/>
      <c r="IH388" s="64"/>
      <c r="II388" s="64"/>
      <c r="IJ388" s="64"/>
      <c r="IK388" s="64"/>
      <c r="IL388" s="64"/>
      <c r="IM388" s="64"/>
      <c r="IN388" s="64"/>
      <c r="IO388" s="64"/>
      <c r="IP388" s="64"/>
      <c r="IQ388" s="64"/>
      <c r="IR388" s="64"/>
      <c r="IS388" s="64"/>
      <c r="IT388" s="64"/>
      <c r="IU388" s="64"/>
      <c r="IV388" s="64"/>
      <c r="IW388" s="64"/>
      <c r="IX388" s="64"/>
      <c r="IY388" s="64"/>
      <c r="IZ388" s="64"/>
      <c r="JA388" s="64"/>
      <c r="JB388" s="64"/>
      <c r="JC388" s="64"/>
      <c r="JD388" s="64"/>
      <c r="JE388" s="64"/>
      <c r="JF388" s="64"/>
      <c r="JG388" s="64"/>
      <c r="JH388" s="64"/>
      <c r="JI388" s="64"/>
    </row>
    <row r="389" spans="1:269" s="920" customFormat="1" x14ac:dyDescent="0.2">
      <c r="A389" s="116"/>
      <c r="B389" s="64"/>
      <c r="C389" s="64"/>
      <c r="D389" s="64"/>
      <c r="E389" s="64"/>
      <c r="F389" s="64"/>
      <c r="G389" s="64"/>
      <c r="H389" s="64"/>
      <c r="I389" s="64"/>
      <c r="J389" s="116"/>
      <c r="K389" s="116"/>
      <c r="L389" s="116"/>
      <c r="M389" s="116"/>
      <c r="N389" s="116"/>
      <c r="O389" s="116"/>
      <c r="P389" s="116"/>
      <c r="Q389" s="102"/>
      <c r="R389" s="102"/>
      <c r="S389" s="102"/>
      <c r="T389" s="102"/>
      <c r="U389" s="913"/>
      <c r="V389" s="114"/>
      <c r="W389" s="805"/>
      <c r="X389" s="805"/>
      <c r="Y389" s="805"/>
      <c r="Z389" s="914"/>
      <c r="AA389" s="102"/>
      <c r="AB389" s="102"/>
      <c r="AC389" s="102"/>
      <c r="AD389" s="102"/>
      <c r="AE389" s="102"/>
      <c r="AF389" s="102"/>
      <c r="AG389" s="102"/>
      <c r="AH389" s="102"/>
      <c r="AI389" s="102"/>
      <c r="AJ389" s="906"/>
      <c r="AK389" s="102"/>
      <c r="AL389" s="915"/>
      <c r="AM389" s="915"/>
      <c r="AN389" s="114"/>
      <c r="AO389" s="64"/>
      <c r="AP389" s="64"/>
      <c r="AQ389" s="64"/>
      <c r="AR389" s="916"/>
      <c r="AS389" s="916"/>
      <c r="AT389" s="916"/>
      <c r="AU389" s="917"/>
      <c r="AV389" s="917"/>
      <c r="AW389" s="917"/>
      <c r="AX389" s="918"/>
      <c r="AY389" s="916"/>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917"/>
      <c r="CA389" s="917"/>
      <c r="CB389" s="64"/>
      <c r="CC389" s="919"/>
      <c r="CD389" s="919"/>
      <c r="CE389" s="64"/>
      <c r="CF389" s="528"/>
      <c r="CG389" s="529"/>
      <c r="CH389" s="64"/>
      <c r="CI389" s="64"/>
      <c r="CJ389" s="64"/>
      <c r="CK389" s="64"/>
      <c r="CL389" s="64"/>
      <c r="CM389" s="64"/>
      <c r="CN389" s="64"/>
      <c r="CO389" s="64"/>
      <c r="CP389" s="64"/>
      <c r="CQ389" s="64"/>
      <c r="CR389" s="64"/>
      <c r="CS389" s="64"/>
      <c r="CT389" s="64"/>
      <c r="CU389" s="64"/>
      <c r="CV389" s="64"/>
      <c r="CW389" s="64"/>
      <c r="CX389" s="64"/>
      <c r="CY389" s="1011"/>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c r="FC389" s="64"/>
      <c r="FD389" s="64"/>
      <c r="FE389" s="64"/>
      <c r="FF389" s="64"/>
      <c r="FG389" s="64"/>
      <c r="FH389" s="64"/>
      <c r="FI389" s="64"/>
      <c r="FJ389" s="64"/>
      <c r="FK389" s="64"/>
      <c r="FL389" s="64"/>
      <c r="FM389" s="64"/>
      <c r="FN389" s="64"/>
      <c r="FO389" s="64"/>
      <c r="FP389" s="64"/>
      <c r="FQ389" s="64"/>
      <c r="FR389" s="64"/>
      <c r="FS389" s="64"/>
      <c r="FT389" s="64"/>
      <c r="FU389" s="64"/>
      <c r="FV389" s="64"/>
      <c r="FW389" s="64"/>
      <c r="FX389" s="64"/>
      <c r="FY389" s="64"/>
      <c r="FZ389" s="64"/>
      <c r="GA389" s="64"/>
      <c r="GB389" s="64"/>
      <c r="GC389" s="64"/>
      <c r="GD389" s="64"/>
      <c r="GE389" s="64"/>
      <c r="GF389" s="64"/>
      <c r="GG389" s="64"/>
      <c r="GH389" s="64"/>
      <c r="GI389" s="64"/>
      <c r="GJ389" s="64"/>
      <c r="GK389" s="64"/>
      <c r="GL389" s="64"/>
      <c r="GM389" s="64"/>
      <c r="GN389" s="64"/>
      <c r="GO389" s="64"/>
      <c r="GP389" s="64"/>
      <c r="GQ389" s="64"/>
      <c r="GR389" s="64"/>
      <c r="GS389" s="64"/>
      <c r="GT389" s="64"/>
      <c r="GU389" s="64"/>
      <c r="GV389" s="64"/>
      <c r="GW389" s="64"/>
      <c r="GX389" s="64"/>
      <c r="GY389" s="64"/>
      <c r="GZ389" s="64"/>
      <c r="HA389" s="64"/>
      <c r="HB389" s="64"/>
      <c r="HC389" s="64"/>
      <c r="HD389" s="64"/>
      <c r="HE389" s="64"/>
      <c r="HF389" s="64"/>
      <c r="HG389" s="64"/>
      <c r="HH389" s="64"/>
      <c r="HI389" s="64"/>
      <c r="HJ389" s="64"/>
      <c r="HK389" s="64"/>
      <c r="HL389" s="64"/>
      <c r="HM389" s="64"/>
      <c r="HN389" s="64"/>
      <c r="HO389" s="64"/>
      <c r="HP389" s="64"/>
      <c r="HQ389" s="64"/>
      <c r="HR389" s="64"/>
      <c r="HS389" s="64"/>
      <c r="HT389" s="64"/>
      <c r="HU389" s="64"/>
      <c r="HV389" s="64"/>
      <c r="HW389" s="64"/>
      <c r="HX389" s="64"/>
      <c r="HY389" s="64"/>
      <c r="HZ389" s="64"/>
      <c r="IA389" s="64"/>
      <c r="IB389" s="64"/>
      <c r="IC389" s="64"/>
      <c r="ID389" s="64"/>
      <c r="IE389" s="64"/>
      <c r="IF389" s="64"/>
      <c r="IG389" s="64"/>
      <c r="IH389" s="64"/>
      <c r="II389" s="64"/>
      <c r="IJ389" s="64"/>
      <c r="IK389" s="64"/>
      <c r="IL389" s="64"/>
      <c r="IM389" s="64"/>
      <c r="IN389" s="64"/>
      <c r="IO389" s="64"/>
      <c r="IP389" s="64"/>
      <c r="IQ389" s="64"/>
      <c r="IR389" s="64"/>
      <c r="IS389" s="64"/>
      <c r="IT389" s="64"/>
      <c r="IU389" s="64"/>
      <c r="IV389" s="64"/>
      <c r="IW389" s="64"/>
      <c r="IX389" s="64"/>
      <c r="IY389" s="64"/>
      <c r="IZ389" s="64"/>
      <c r="JA389" s="64"/>
      <c r="JB389" s="64"/>
      <c r="JC389" s="64"/>
      <c r="JD389" s="64"/>
      <c r="JE389" s="64"/>
      <c r="JF389" s="64"/>
      <c r="JG389" s="64"/>
      <c r="JH389" s="64"/>
      <c r="JI389" s="64"/>
    </row>
    <row r="390" spans="1:269" s="920" customFormat="1" x14ac:dyDescent="0.2">
      <c r="A390" s="116"/>
      <c r="B390" s="64"/>
      <c r="C390" s="64"/>
      <c r="D390" s="64"/>
      <c r="E390" s="64"/>
      <c r="F390" s="64"/>
      <c r="G390" s="64"/>
      <c r="H390" s="64"/>
      <c r="I390" s="64"/>
      <c r="J390" s="116"/>
      <c r="K390" s="116"/>
      <c r="L390" s="116"/>
      <c r="M390" s="116"/>
      <c r="N390" s="116"/>
      <c r="O390" s="116"/>
      <c r="P390" s="116"/>
      <c r="Q390" s="102"/>
      <c r="R390" s="102"/>
      <c r="S390" s="102"/>
      <c r="T390" s="102"/>
      <c r="U390" s="913"/>
      <c r="V390" s="114"/>
      <c r="W390" s="805"/>
      <c r="X390" s="805"/>
      <c r="Y390" s="805"/>
      <c r="Z390" s="914"/>
      <c r="AA390" s="102"/>
      <c r="AB390" s="102"/>
      <c r="AC390" s="102"/>
      <c r="AD390" s="102"/>
      <c r="AE390" s="102"/>
      <c r="AF390" s="102"/>
      <c r="AG390" s="102"/>
      <c r="AH390" s="102"/>
      <c r="AI390" s="102"/>
      <c r="AJ390" s="906"/>
      <c r="AK390" s="102"/>
      <c r="AL390" s="915"/>
      <c r="AM390" s="915"/>
      <c r="AN390" s="114"/>
      <c r="AO390" s="64"/>
      <c r="AP390" s="64"/>
      <c r="AQ390" s="64"/>
      <c r="AR390" s="916"/>
      <c r="AS390" s="916"/>
      <c r="AT390" s="916"/>
      <c r="AU390" s="917"/>
      <c r="AV390" s="917"/>
      <c r="AW390" s="917"/>
      <c r="AX390" s="918"/>
      <c r="AY390" s="916"/>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917"/>
      <c r="CA390" s="917"/>
      <c r="CB390" s="64"/>
      <c r="CC390" s="919"/>
      <c r="CD390" s="919"/>
      <c r="CE390" s="64"/>
      <c r="CF390" s="528"/>
      <c r="CG390" s="529"/>
      <c r="CH390" s="64"/>
      <c r="CI390" s="64"/>
      <c r="CJ390" s="64"/>
      <c r="CK390" s="64"/>
      <c r="CL390" s="64"/>
      <c r="CM390" s="64"/>
      <c r="CN390" s="64"/>
      <c r="CO390" s="64"/>
      <c r="CP390" s="64"/>
      <c r="CQ390" s="64"/>
      <c r="CR390" s="64"/>
      <c r="CS390" s="64"/>
      <c r="CT390" s="64"/>
      <c r="CU390" s="64"/>
      <c r="CV390" s="64"/>
      <c r="CW390" s="64"/>
      <c r="CX390" s="64"/>
      <c r="CY390" s="1011"/>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c r="FC390" s="64"/>
      <c r="FD390" s="64"/>
      <c r="FE390" s="64"/>
      <c r="FF390" s="64"/>
      <c r="FG390" s="64"/>
      <c r="FH390" s="64"/>
      <c r="FI390" s="64"/>
      <c r="FJ390" s="64"/>
      <c r="FK390" s="64"/>
      <c r="FL390" s="64"/>
      <c r="FM390" s="64"/>
      <c r="FN390" s="64"/>
      <c r="FO390" s="64"/>
      <c r="FP390" s="64"/>
      <c r="FQ390" s="64"/>
      <c r="FR390" s="64"/>
      <c r="FS390" s="64"/>
      <c r="FT390" s="64"/>
      <c r="FU390" s="64"/>
      <c r="FV390" s="64"/>
      <c r="FW390" s="64"/>
      <c r="FX390" s="64"/>
      <c r="FY390" s="64"/>
      <c r="FZ390" s="64"/>
      <c r="GA390" s="64"/>
      <c r="GB390" s="64"/>
      <c r="GC390" s="64"/>
      <c r="GD390" s="64"/>
      <c r="GE390" s="64"/>
      <c r="GF390" s="64"/>
      <c r="GG390" s="64"/>
      <c r="GH390" s="64"/>
      <c r="GI390" s="64"/>
      <c r="GJ390" s="64"/>
      <c r="GK390" s="64"/>
      <c r="GL390" s="64"/>
      <c r="GM390" s="64"/>
      <c r="GN390" s="64"/>
      <c r="GO390" s="64"/>
      <c r="GP390" s="64"/>
      <c r="GQ390" s="64"/>
      <c r="GR390" s="64"/>
      <c r="GS390" s="64"/>
      <c r="GT390" s="64"/>
      <c r="GU390" s="64"/>
      <c r="GV390" s="64"/>
      <c r="GW390" s="64"/>
      <c r="GX390" s="64"/>
      <c r="GY390" s="64"/>
      <c r="GZ390" s="64"/>
      <c r="HA390" s="64"/>
      <c r="HB390" s="64"/>
      <c r="HC390" s="64"/>
      <c r="HD390" s="64"/>
      <c r="HE390" s="64"/>
      <c r="HF390" s="64"/>
      <c r="HG390" s="64"/>
      <c r="HH390" s="64"/>
      <c r="HI390" s="64"/>
      <c r="HJ390" s="64"/>
      <c r="HK390" s="64"/>
      <c r="HL390" s="64"/>
      <c r="HM390" s="64"/>
      <c r="HN390" s="64"/>
      <c r="HO390" s="64"/>
      <c r="HP390" s="64"/>
      <c r="HQ390" s="64"/>
      <c r="HR390" s="64"/>
      <c r="HS390" s="64"/>
      <c r="HT390" s="64"/>
      <c r="HU390" s="64"/>
      <c r="HV390" s="64"/>
      <c r="HW390" s="64"/>
      <c r="HX390" s="64"/>
      <c r="HY390" s="64"/>
      <c r="HZ390" s="64"/>
      <c r="IA390" s="64"/>
      <c r="IB390" s="64"/>
      <c r="IC390" s="64"/>
      <c r="ID390" s="64"/>
      <c r="IE390" s="64"/>
      <c r="IF390" s="64"/>
      <c r="IG390" s="64"/>
      <c r="IH390" s="64"/>
      <c r="II390" s="64"/>
      <c r="IJ390" s="64"/>
      <c r="IK390" s="64"/>
      <c r="IL390" s="64"/>
      <c r="IM390" s="64"/>
      <c r="IN390" s="64"/>
      <c r="IO390" s="64"/>
      <c r="IP390" s="64"/>
      <c r="IQ390" s="64"/>
      <c r="IR390" s="64"/>
      <c r="IS390" s="64"/>
      <c r="IT390" s="64"/>
      <c r="IU390" s="64"/>
      <c r="IV390" s="64"/>
      <c r="IW390" s="64"/>
      <c r="IX390" s="64"/>
      <c r="IY390" s="64"/>
      <c r="IZ390" s="64"/>
      <c r="JA390" s="64"/>
      <c r="JB390" s="64"/>
      <c r="JC390" s="64"/>
      <c r="JD390" s="64"/>
      <c r="JE390" s="64"/>
      <c r="JF390" s="64"/>
      <c r="JG390" s="64"/>
      <c r="JH390" s="64"/>
      <c r="JI390" s="64"/>
    </row>
    <row r="391" spans="1:269" s="920" customFormat="1" x14ac:dyDescent="0.2">
      <c r="A391" s="116"/>
      <c r="B391" s="64"/>
      <c r="C391" s="64"/>
      <c r="D391" s="64"/>
      <c r="E391" s="64"/>
      <c r="F391" s="64"/>
      <c r="G391" s="64"/>
      <c r="H391" s="64"/>
      <c r="I391" s="64"/>
      <c r="J391" s="116"/>
      <c r="K391" s="116"/>
      <c r="L391" s="116"/>
      <c r="M391" s="116"/>
      <c r="N391" s="116"/>
      <c r="O391" s="116"/>
      <c r="P391" s="116"/>
      <c r="Q391" s="102"/>
      <c r="R391" s="102"/>
      <c r="S391" s="102"/>
      <c r="T391" s="102"/>
      <c r="U391" s="913"/>
      <c r="V391" s="114"/>
      <c r="W391" s="805"/>
      <c r="X391" s="805"/>
      <c r="Y391" s="805"/>
      <c r="Z391" s="914"/>
      <c r="AA391" s="102"/>
      <c r="AB391" s="102"/>
      <c r="AC391" s="102"/>
      <c r="AD391" s="102"/>
      <c r="AE391" s="102"/>
      <c r="AF391" s="102"/>
      <c r="AG391" s="102"/>
      <c r="AH391" s="102"/>
      <c r="AI391" s="102"/>
      <c r="AJ391" s="906"/>
      <c r="AK391" s="102"/>
      <c r="AL391" s="915"/>
      <c r="AM391" s="915"/>
      <c r="AN391" s="114"/>
      <c r="AO391" s="64"/>
      <c r="AP391" s="64"/>
      <c r="AQ391" s="64"/>
      <c r="AR391" s="916"/>
      <c r="AS391" s="916"/>
      <c r="AT391" s="916"/>
      <c r="AU391" s="917"/>
      <c r="AV391" s="917"/>
      <c r="AW391" s="917"/>
      <c r="AX391" s="918"/>
      <c r="AY391" s="916"/>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917"/>
      <c r="CA391" s="917"/>
      <c r="CB391" s="64"/>
      <c r="CC391" s="919"/>
      <c r="CD391" s="919"/>
      <c r="CE391" s="64"/>
      <c r="CF391" s="528"/>
      <c r="CG391" s="529"/>
      <c r="CH391" s="64"/>
      <c r="CI391" s="64"/>
      <c r="CJ391" s="64"/>
      <c r="CK391" s="64"/>
      <c r="CL391" s="64"/>
      <c r="CM391" s="64"/>
      <c r="CN391" s="64"/>
      <c r="CO391" s="64"/>
      <c r="CP391" s="64"/>
      <c r="CQ391" s="64"/>
      <c r="CR391" s="64"/>
      <c r="CS391" s="64"/>
      <c r="CT391" s="64"/>
      <c r="CU391" s="64"/>
      <c r="CV391" s="64"/>
      <c r="CW391" s="64"/>
      <c r="CX391" s="64"/>
      <c r="CY391" s="1011"/>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c r="FC391" s="64"/>
      <c r="FD391" s="64"/>
      <c r="FE391" s="64"/>
      <c r="FF391" s="64"/>
      <c r="FG391" s="64"/>
      <c r="FH391" s="64"/>
      <c r="FI391" s="64"/>
      <c r="FJ391" s="64"/>
      <c r="FK391" s="64"/>
      <c r="FL391" s="64"/>
      <c r="FM391" s="64"/>
      <c r="FN391" s="64"/>
      <c r="FO391" s="64"/>
      <c r="FP391" s="64"/>
      <c r="FQ391" s="64"/>
      <c r="FR391" s="64"/>
      <c r="FS391" s="64"/>
      <c r="FT391" s="64"/>
      <c r="FU391" s="64"/>
      <c r="FV391" s="64"/>
      <c r="FW391" s="64"/>
      <c r="FX391" s="64"/>
      <c r="FY391" s="64"/>
      <c r="FZ391" s="64"/>
      <c r="GA391" s="64"/>
      <c r="GB391" s="64"/>
      <c r="GC391" s="64"/>
      <c r="GD391" s="64"/>
      <c r="GE391" s="64"/>
      <c r="GF391" s="64"/>
      <c r="GG391" s="64"/>
      <c r="GH391" s="64"/>
      <c r="GI391" s="64"/>
      <c r="GJ391" s="64"/>
      <c r="GK391" s="64"/>
      <c r="GL391" s="64"/>
      <c r="GM391" s="64"/>
      <c r="GN391" s="64"/>
      <c r="GO391" s="64"/>
      <c r="GP391" s="64"/>
      <c r="GQ391" s="64"/>
      <c r="GR391" s="64"/>
      <c r="GS391" s="64"/>
      <c r="GT391" s="64"/>
      <c r="GU391" s="64"/>
      <c r="GV391" s="64"/>
      <c r="GW391" s="64"/>
      <c r="GX391" s="64"/>
      <c r="GY391" s="64"/>
      <c r="GZ391" s="64"/>
      <c r="HA391" s="64"/>
      <c r="HB391" s="64"/>
      <c r="HC391" s="64"/>
      <c r="HD391" s="64"/>
      <c r="HE391" s="64"/>
      <c r="HF391" s="64"/>
      <c r="HG391" s="64"/>
      <c r="HH391" s="64"/>
      <c r="HI391" s="64"/>
      <c r="HJ391" s="64"/>
      <c r="HK391" s="64"/>
      <c r="HL391" s="64"/>
      <c r="HM391" s="64"/>
      <c r="HN391" s="64"/>
      <c r="HO391" s="64"/>
      <c r="HP391" s="64"/>
      <c r="HQ391" s="64"/>
      <c r="HR391" s="64"/>
      <c r="HS391" s="64"/>
      <c r="HT391" s="64"/>
      <c r="HU391" s="64"/>
      <c r="HV391" s="64"/>
      <c r="HW391" s="64"/>
      <c r="HX391" s="64"/>
      <c r="HY391" s="64"/>
      <c r="HZ391" s="64"/>
      <c r="IA391" s="64"/>
      <c r="IB391" s="64"/>
      <c r="IC391" s="64"/>
      <c r="ID391" s="64"/>
      <c r="IE391" s="64"/>
      <c r="IF391" s="64"/>
      <c r="IG391" s="64"/>
      <c r="IH391" s="64"/>
      <c r="II391" s="64"/>
      <c r="IJ391" s="64"/>
      <c r="IK391" s="64"/>
      <c r="IL391" s="64"/>
      <c r="IM391" s="64"/>
      <c r="IN391" s="64"/>
      <c r="IO391" s="64"/>
      <c r="IP391" s="64"/>
      <c r="IQ391" s="64"/>
      <c r="IR391" s="64"/>
      <c r="IS391" s="64"/>
      <c r="IT391" s="64"/>
      <c r="IU391" s="64"/>
      <c r="IV391" s="64"/>
      <c r="IW391" s="64"/>
      <c r="IX391" s="64"/>
      <c r="IY391" s="64"/>
      <c r="IZ391" s="64"/>
      <c r="JA391" s="64"/>
      <c r="JB391" s="64"/>
      <c r="JC391" s="64"/>
      <c r="JD391" s="64"/>
      <c r="JE391" s="64"/>
      <c r="JF391" s="64"/>
      <c r="JG391" s="64"/>
      <c r="JH391" s="64"/>
      <c r="JI391" s="64"/>
    </row>
    <row r="392" spans="1:269" s="920" customFormat="1" x14ac:dyDescent="0.2">
      <c r="A392" s="116"/>
      <c r="B392" s="64"/>
      <c r="C392" s="64"/>
      <c r="D392" s="64"/>
      <c r="E392" s="64"/>
      <c r="F392" s="64"/>
      <c r="G392" s="64"/>
      <c r="H392" s="64"/>
      <c r="I392" s="64"/>
      <c r="J392" s="116"/>
      <c r="K392" s="116"/>
      <c r="L392" s="116"/>
      <c r="M392" s="116"/>
      <c r="N392" s="116"/>
      <c r="O392" s="116"/>
      <c r="P392" s="116"/>
      <c r="Q392" s="102"/>
      <c r="R392" s="102"/>
      <c r="S392" s="102"/>
      <c r="T392" s="102"/>
      <c r="U392" s="913"/>
      <c r="V392" s="114"/>
      <c r="W392" s="805"/>
      <c r="X392" s="805"/>
      <c r="Y392" s="805"/>
      <c r="Z392" s="914"/>
      <c r="AA392" s="102"/>
      <c r="AB392" s="102"/>
      <c r="AC392" s="102"/>
      <c r="AD392" s="102"/>
      <c r="AE392" s="102"/>
      <c r="AF392" s="102"/>
      <c r="AG392" s="102"/>
      <c r="AH392" s="102"/>
      <c r="AI392" s="102"/>
      <c r="AJ392" s="906"/>
      <c r="AK392" s="102"/>
      <c r="AL392" s="915"/>
      <c r="AM392" s="915"/>
      <c r="AN392" s="114"/>
      <c r="AO392" s="64"/>
      <c r="AP392" s="64"/>
      <c r="AQ392" s="64"/>
      <c r="AR392" s="916"/>
      <c r="AS392" s="916"/>
      <c r="AT392" s="916"/>
      <c r="AU392" s="917"/>
      <c r="AV392" s="917"/>
      <c r="AW392" s="917"/>
      <c r="AX392" s="918"/>
      <c r="AY392" s="916"/>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917"/>
      <c r="CA392" s="917"/>
      <c r="CB392" s="64"/>
      <c r="CC392" s="919"/>
      <c r="CD392" s="919"/>
      <c r="CE392" s="64"/>
      <c r="CF392" s="528"/>
      <c r="CG392" s="529"/>
      <c r="CH392" s="64"/>
      <c r="CI392" s="64"/>
      <c r="CJ392" s="64"/>
      <c r="CK392" s="64"/>
      <c r="CL392" s="64"/>
      <c r="CM392" s="64"/>
      <c r="CN392" s="64"/>
      <c r="CO392" s="64"/>
      <c r="CP392" s="64"/>
      <c r="CQ392" s="64"/>
      <c r="CR392" s="64"/>
      <c r="CS392" s="64"/>
      <c r="CT392" s="64"/>
      <c r="CU392" s="64"/>
      <c r="CV392" s="64"/>
      <c r="CW392" s="64"/>
      <c r="CX392" s="64"/>
      <c r="CY392" s="1011"/>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c r="FC392" s="64"/>
      <c r="FD392" s="64"/>
      <c r="FE392" s="64"/>
      <c r="FF392" s="64"/>
      <c r="FG392" s="64"/>
      <c r="FH392" s="64"/>
      <c r="FI392" s="64"/>
      <c r="FJ392" s="64"/>
      <c r="FK392" s="64"/>
      <c r="FL392" s="64"/>
      <c r="FM392" s="64"/>
      <c r="FN392" s="64"/>
      <c r="FO392" s="64"/>
      <c r="FP392" s="64"/>
      <c r="FQ392" s="64"/>
      <c r="FR392" s="64"/>
      <c r="FS392" s="64"/>
      <c r="FT392" s="64"/>
      <c r="FU392" s="64"/>
      <c r="FV392" s="64"/>
      <c r="FW392" s="64"/>
      <c r="FX392" s="64"/>
      <c r="FY392" s="64"/>
      <c r="FZ392" s="64"/>
      <c r="GA392" s="64"/>
      <c r="GB392" s="64"/>
      <c r="GC392" s="64"/>
      <c r="GD392" s="64"/>
      <c r="GE392" s="64"/>
      <c r="GF392" s="64"/>
      <c r="GG392" s="64"/>
      <c r="GH392" s="64"/>
      <c r="GI392" s="64"/>
      <c r="GJ392" s="64"/>
      <c r="GK392" s="64"/>
      <c r="GL392" s="64"/>
      <c r="GM392" s="64"/>
      <c r="GN392" s="64"/>
      <c r="GO392" s="64"/>
      <c r="GP392" s="64"/>
      <c r="GQ392" s="64"/>
      <c r="GR392" s="64"/>
      <c r="GS392" s="64"/>
      <c r="GT392" s="64"/>
      <c r="GU392" s="64"/>
      <c r="GV392" s="64"/>
      <c r="GW392" s="64"/>
      <c r="GX392" s="64"/>
      <c r="GY392" s="64"/>
      <c r="GZ392" s="64"/>
      <c r="HA392" s="64"/>
      <c r="HB392" s="64"/>
      <c r="HC392" s="64"/>
      <c r="HD392" s="64"/>
      <c r="HE392" s="64"/>
      <c r="HF392" s="64"/>
      <c r="HG392" s="64"/>
      <c r="HH392" s="64"/>
      <c r="HI392" s="64"/>
      <c r="HJ392" s="64"/>
      <c r="HK392" s="64"/>
      <c r="HL392" s="64"/>
      <c r="HM392" s="64"/>
      <c r="HN392" s="64"/>
      <c r="HO392" s="64"/>
      <c r="HP392" s="64"/>
      <c r="HQ392" s="64"/>
      <c r="HR392" s="64"/>
      <c r="HS392" s="64"/>
      <c r="HT392" s="64"/>
      <c r="HU392" s="64"/>
      <c r="HV392" s="64"/>
      <c r="HW392" s="64"/>
      <c r="HX392" s="64"/>
      <c r="HY392" s="64"/>
      <c r="HZ392" s="64"/>
      <c r="IA392" s="64"/>
      <c r="IB392" s="64"/>
      <c r="IC392" s="64"/>
      <c r="ID392" s="64"/>
      <c r="IE392" s="64"/>
      <c r="IF392" s="64"/>
      <c r="IG392" s="64"/>
      <c r="IH392" s="64"/>
      <c r="II392" s="64"/>
      <c r="IJ392" s="64"/>
      <c r="IK392" s="64"/>
      <c r="IL392" s="64"/>
      <c r="IM392" s="64"/>
      <c r="IN392" s="64"/>
      <c r="IO392" s="64"/>
      <c r="IP392" s="64"/>
      <c r="IQ392" s="64"/>
      <c r="IR392" s="64"/>
      <c r="IS392" s="64"/>
      <c r="IT392" s="64"/>
      <c r="IU392" s="64"/>
      <c r="IV392" s="64"/>
      <c r="IW392" s="64"/>
      <c r="IX392" s="64"/>
      <c r="IY392" s="64"/>
      <c r="IZ392" s="64"/>
      <c r="JA392" s="64"/>
      <c r="JB392" s="64"/>
      <c r="JC392" s="64"/>
      <c r="JD392" s="64"/>
      <c r="JE392" s="64"/>
      <c r="JF392" s="64"/>
      <c r="JG392" s="64"/>
      <c r="JH392" s="64"/>
      <c r="JI392" s="64"/>
    </row>
    <row r="393" spans="1:269" s="920" customFormat="1" x14ac:dyDescent="0.2">
      <c r="A393" s="116"/>
      <c r="B393" s="64"/>
      <c r="C393" s="64"/>
      <c r="D393" s="64"/>
      <c r="E393" s="64"/>
      <c r="F393" s="64"/>
      <c r="G393" s="64"/>
      <c r="H393" s="64"/>
      <c r="I393" s="64"/>
      <c r="J393" s="116"/>
      <c r="K393" s="116"/>
      <c r="L393" s="116"/>
      <c r="M393" s="116"/>
      <c r="N393" s="116"/>
      <c r="O393" s="116"/>
      <c r="P393" s="116"/>
      <c r="Q393" s="102"/>
      <c r="R393" s="102"/>
      <c r="S393" s="102"/>
      <c r="T393" s="102"/>
      <c r="U393" s="913"/>
      <c r="V393" s="114"/>
      <c r="W393" s="805"/>
      <c r="X393" s="805"/>
      <c r="Y393" s="805"/>
      <c r="Z393" s="914"/>
      <c r="AA393" s="102"/>
      <c r="AB393" s="102"/>
      <c r="AC393" s="102"/>
      <c r="AD393" s="102"/>
      <c r="AE393" s="102"/>
      <c r="AF393" s="102"/>
      <c r="AG393" s="102"/>
      <c r="AH393" s="102"/>
      <c r="AI393" s="102"/>
      <c r="AJ393" s="906"/>
      <c r="AK393" s="102"/>
      <c r="AL393" s="915"/>
      <c r="AM393" s="915"/>
      <c r="AN393" s="114"/>
      <c r="AO393" s="64"/>
      <c r="AP393" s="64"/>
      <c r="AQ393" s="64"/>
      <c r="AR393" s="916"/>
      <c r="AS393" s="916"/>
      <c r="AT393" s="916"/>
      <c r="AU393" s="917"/>
      <c r="AV393" s="917"/>
      <c r="AW393" s="917"/>
      <c r="AX393" s="918"/>
      <c r="AY393" s="916"/>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917"/>
      <c r="CA393" s="917"/>
      <c r="CB393" s="64"/>
      <c r="CC393" s="919"/>
      <c r="CD393" s="919"/>
      <c r="CE393" s="64"/>
      <c r="CF393" s="528"/>
      <c r="CG393" s="529"/>
      <c r="CH393" s="64"/>
      <c r="CI393" s="64"/>
      <c r="CJ393" s="64"/>
      <c r="CK393" s="64"/>
      <c r="CL393" s="64"/>
      <c r="CM393" s="64"/>
      <c r="CN393" s="64"/>
      <c r="CO393" s="64"/>
      <c r="CP393" s="64"/>
      <c r="CQ393" s="64"/>
      <c r="CR393" s="64"/>
      <c r="CS393" s="64"/>
      <c r="CT393" s="64"/>
      <c r="CU393" s="64"/>
      <c r="CV393" s="64"/>
      <c r="CW393" s="64"/>
      <c r="CX393" s="64"/>
      <c r="CY393" s="1011"/>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c r="FC393" s="64"/>
      <c r="FD393" s="64"/>
      <c r="FE393" s="64"/>
      <c r="FF393" s="64"/>
      <c r="FG393" s="64"/>
      <c r="FH393" s="64"/>
      <c r="FI393" s="64"/>
      <c r="FJ393" s="64"/>
      <c r="FK393" s="64"/>
      <c r="FL393" s="64"/>
      <c r="FM393" s="64"/>
      <c r="FN393" s="64"/>
      <c r="FO393" s="64"/>
      <c r="FP393" s="64"/>
      <c r="FQ393" s="64"/>
      <c r="FR393" s="64"/>
      <c r="FS393" s="64"/>
      <c r="FT393" s="64"/>
      <c r="FU393" s="64"/>
      <c r="FV393" s="64"/>
      <c r="FW393" s="64"/>
      <c r="FX393" s="64"/>
      <c r="FY393" s="64"/>
      <c r="FZ393" s="64"/>
      <c r="GA393" s="64"/>
      <c r="GB393" s="64"/>
      <c r="GC393" s="64"/>
      <c r="GD393" s="64"/>
      <c r="GE393" s="64"/>
      <c r="GF393" s="64"/>
      <c r="GG393" s="64"/>
      <c r="GH393" s="64"/>
      <c r="GI393" s="64"/>
      <c r="GJ393" s="64"/>
      <c r="GK393" s="64"/>
      <c r="GL393" s="64"/>
      <c r="GM393" s="64"/>
      <c r="GN393" s="64"/>
      <c r="GO393" s="64"/>
      <c r="GP393" s="64"/>
      <c r="GQ393" s="64"/>
      <c r="GR393" s="64"/>
      <c r="GS393" s="64"/>
      <c r="GT393" s="64"/>
      <c r="GU393" s="64"/>
      <c r="GV393" s="64"/>
      <c r="GW393" s="64"/>
      <c r="GX393" s="64"/>
      <c r="GY393" s="64"/>
      <c r="GZ393" s="64"/>
      <c r="HA393" s="64"/>
      <c r="HB393" s="64"/>
      <c r="HC393" s="64"/>
      <c r="HD393" s="64"/>
      <c r="HE393" s="64"/>
      <c r="HF393" s="64"/>
      <c r="HG393" s="64"/>
      <c r="HH393" s="64"/>
      <c r="HI393" s="64"/>
      <c r="HJ393" s="64"/>
      <c r="HK393" s="64"/>
      <c r="HL393" s="64"/>
      <c r="HM393" s="64"/>
      <c r="HN393" s="64"/>
      <c r="HO393" s="64"/>
      <c r="HP393" s="64"/>
      <c r="HQ393" s="64"/>
      <c r="HR393" s="64"/>
      <c r="HS393" s="64"/>
      <c r="HT393" s="64"/>
      <c r="HU393" s="64"/>
      <c r="HV393" s="64"/>
      <c r="HW393" s="64"/>
      <c r="HX393" s="64"/>
      <c r="HY393" s="64"/>
      <c r="HZ393" s="64"/>
      <c r="IA393" s="64"/>
      <c r="IB393" s="64"/>
      <c r="IC393" s="64"/>
      <c r="ID393" s="64"/>
      <c r="IE393" s="64"/>
      <c r="IF393" s="64"/>
      <c r="IG393" s="64"/>
      <c r="IH393" s="64"/>
      <c r="II393" s="64"/>
      <c r="IJ393" s="64"/>
      <c r="IK393" s="64"/>
      <c r="IL393" s="64"/>
      <c r="IM393" s="64"/>
      <c r="IN393" s="64"/>
      <c r="IO393" s="64"/>
      <c r="IP393" s="64"/>
      <c r="IQ393" s="64"/>
      <c r="IR393" s="64"/>
      <c r="IS393" s="64"/>
      <c r="IT393" s="64"/>
      <c r="IU393" s="64"/>
      <c r="IV393" s="64"/>
      <c r="IW393" s="64"/>
      <c r="IX393" s="64"/>
      <c r="IY393" s="64"/>
      <c r="IZ393" s="64"/>
      <c r="JA393" s="64"/>
      <c r="JB393" s="64"/>
      <c r="JC393" s="64"/>
      <c r="JD393" s="64"/>
      <c r="JE393" s="64"/>
      <c r="JF393" s="64"/>
      <c r="JG393" s="64"/>
      <c r="JH393" s="64"/>
      <c r="JI393" s="64"/>
    </row>
    <row r="394" spans="1:269" s="920" customFormat="1" x14ac:dyDescent="0.2">
      <c r="A394" s="116"/>
      <c r="B394" s="64"/>
      <c r="C394" s="64"/>
      <c r="D394" s="64"/>
      <c r="E394" s="64"/>
      <c r="F394" s="64"/>
      <c r="G394" s="64"/>
      <c r="H394" s="64"/>
      <c r="I394" s="64"/>
      <c r="J394" s="116"/>
      <c r="K394" s="116"/>
      <c r="L394" s="116"/>
      <c r="M394" s="116"/>
      <c r="N394" s="116"/>
      <c r="O394" s="116"/>
      <c r="P394" s="116"/>
      <c r="Q394" s="102"/>
      <c r="R394" s="102"/>
      <c r="S394" s="102"/>
      <c r="T394" s="102"/>
      <c r="U394" s="913"/>
      <c r="V394" s="114"/>
      <c r="W394" s="805"/>
      <c r="X394" s="805"/>
      <c r="Y394" s="805"/>
      <c r="Z394" s="914"/>
      <c r="AA394" s="102"/>
      <c r="AB394" s="102"/>
      <c r="AC394" s="102"/>
      <c r="AD394" s="102"/>
      <c r="AE394" s="102"/>
      <c r="AF394" s="102"/>
      <c r="AG394" s="102"/>
      <c r="AH394" s="102"/>
      <c r="AI394" s="102"/>
      <c r="AJ394" s="906"/>
      <c r="AK394" s="102"/>
      <c r="AL394" s="915"/>
      <c r="AM394" s="915"/>
      <c r="AN394" s="114"/>
      <c r="AO394" s="64"/>
      <c r="AP394" s="64"/>
      <c r="AQ394" s="64"/>
      <c r="AR394" s="916"/>
      <c r="AS394" s="916"/>
      <c r="AT394" s="916"/>
      <c r="AU394" s="917"/>
      <c r="AV394" s="917"/>
      <c r="AW394" s="917"/>
      <c r="AX394" s="918"/>
      <c r="AY394" s="916"/>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917"/>
      <c r="CA394" s="917"/>
      <c r="CB394" s="64"/>
      <c r="CC394" s="919"/>
      <c r="CD394" s="919"/>
      <c r="CE394" s="64"/>
      <c r="CF394" s="528"/>
      <c r="CG394" s="529"/>
      <c r="CH394" s="64"/>
      <c r="CI394" s="64"/>
      <c r="CJ394" s="64"/>
      <c r="CK394" s="64"/>
      <c r="CL394" s="64"/>
      <c r="CM394" s="64"/>
      <c r="CN394" s="64"/>
      <c r="CO394" s="64"/>
      <c r="CP394" s="64"/>
      <c r="CQ394" s="64"/>
      <c r="CR394" s="64"/>
      <c r="CS394" s="64"/>
      <c r="CT394" s="64"/>
      <c r="CU394" s="64"/>
      <c r="CV394" s="64"/>
      <c r="CW394" s="64"/>
      <c r="CX394" s="64"/>
      <c r="CY394" s="1011"/>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c r="FC394" s="64"/>
      <c r="FD394" s="64"/>
      <c r="FE394" s="64"/>
      <c r="FF394" s="64"/>
      <c r="FG394" s="64"/>
      <c r="FH394" s="64"/>
      <c r="FI394" s="64"/>
      <c r="FJ394" s="64"/>
      <c r="FK394" s="64"/>
      <c r="FL394" s="64"/>
      <c r="FM394" s="64"/>
      <c r="FN394" s="64"/>
      <c r="FO394" s="64"/>
      <c r="FP394" s="64"/>
      <c r="FQ394" s="64"/>
      <c r="FR394" s="64"/>
      <c r="FS394" s="64"/>
      <c r="FT394" s="64"/>
      <c r="FU394" s="64"/>
      <c r="FV394" s="64"/>
      <c r="FW394" s="64"/>
      <c r="FX394" s="64"/>
      <c r="FY394" s="64"/>
      <c r="FZ394" s="64"/>
      <c r="GA394" s="64"/>
      <c r="GB394" s="64"/>
      <c r="GC394" s="64"/>
      <c r="GD394" s="64"/>
      <c r="GE394" s="64"/>
      <c r="GF394" s="64"/>
      <c r="GG394" s="64"/>
      <c r="GH394" s="64"/>
      <c r="GI394" s="64"/>
      <c r="GJ394" s="64"/>
      <c r="GK394" s="64"/>
      <c r="GL394" s="64"/>
      <c r="GM394" s="64"/>
      <c r="GN394" s="64"/>
      <c r="GO394" s="64"/>
      <c r="GP394" s="64"/>
      <c r="GQ394" s="64"/>
      <c r="GR394" s="64"/>
      <c r="GS394" s="64"/>
      <c r="GT394" s="64"/>
      <c r="GU394" s="64"/>
      <c r="GV394" s="64"/>
      <c r="GW394" s="64"/>
      <c r="GX394" s="64"/>
      <c r="GY394" s="64"/>
      <c r="GZ394" s="64"/>
      <c r="HA394" s="64"/>
      <c r="HB394" s="64"/>
      <c r="HC394" s="64"/>
      <c r="HD394" s="64"/>
      <c r="HE394" s="64"/>
      <c r="HF394" s="64"/>
      <c r="HG394" s="64"/>
      <c r="HH394" s="64"/>
      <c r="HI394" s="64"/>
      <c r="HJ394" s="64"/>
      <c r="HK394" s="64"/>
      <c r="HL394" s="64"/>
      <c r="HM394" s="64"/>
      <c r="HN394" s="64"/>
      <c r="HO394" s="64"/>
      <c r="HP394" s="64"/>
      <c r="HQ394" s="64"/>
      <c r="HR394" s="64"/>
      <c r="HS394" s="64"/>
      <c r="HT394" s="64"/>
      <c r="HU394" s="64"/>
      <c r="HV394" s="64"/>
      <c r="HW394" s="64"/>
      <c r="HX394" s="64"/>
      <c r="HY394" s="64"/>
      <c r="HZ394" s="64"/>
      <c r="IA394" s="64"/>
      <c r="IB394" s="64"/>
      <c r="IC394" s="64"/>
      <c r="ID394" s="64"/>
      <c r="IE394" s="64"/>
      <c r="IF394" s="64"/>
      <c r="IG394" s="64"/>
      <c r="IH394" s="64"/>
      <c r="II394" s="64"/>
      <c r="IJ394" s="64"/>
      <c r="IK394" s="64"/>
      <c r="IL394" s="64"/>
      <c r="IM394" s="64"/>
      <c r="IN394" s="64"/>
      <c r="IO394" s="64"/>
      <c r="IP394" s="64"/>
      <c r="IQ394" s="64"/>
      <c r="IR394" s="64"/>
      <c r="IS394" s="64"/>
      <c r="IT394" s="64"/>
      <c r="IU394" s="64"/>
      <c r="IV394" s="64"/>
      <c r="IW394" s="64"/>
      <c r="IX394" s="64"/>
      <c r="IY394" s="64"/>
      <c r="IZ394" s="64"/>
      <c r="JA394" s="64"/>
      <c r="JB394" s="64"/>
      <c r="JC394" s="64"/>
      <c r="JD394" s="64"/>
      <c r="JE394" s="64"/>
      <c r="JF394" s="64"/>
      <c r="JG394" s="64"/>
      <c r="JH394" s="64"/>
      <c r="JI394" s="64"/>
    </row>
    <row r="395" spans="1:269" s="920" customFormat="1" x14ac:dyDescent="0.2">
      <c r="A395" s="116"/>
      <c r="B395" s="64"/>
      <c r="C395" s="64"/>
      <c r="D395" s="64"/>
      <c r="E395" s="64"/>
      <c r="F395" s="64"/>
      <c r="G395" s="64"/>
      <c r="H395" s="64"/>
      <c r="I395" s="64"/>
      <c r="J395" s="116"/>
      <c r="K395" s="116"/>
      <c r="L395" s="116"/>
      <c r="M395" s="116"/>
      <c r="N395" s="116"/>
      <c r="O395" s="116"/>
      <c r="P395" s="116"/>
      <c r="Q395" s="102"/>
      <c r="R395" s="102"/>
      <c r="S395" s="102"/>
      <c r="T395" s="102"/>
      <c r="U395" s="913"/>
      <c r="V395" s="114"/>
      <c r="W395" s="805"/>
      <c r="X395" s="805"/>
      <c r="Y395" s="805"/>
      <c r="Z395" s="914"/>
      <c r="AA395" s="102"/>
      <c r="AB395" s="102"/>
      <c r="AC395" s="102"/>
      <c r="AD395" s="102"/>
      <c r="AE395" s="102"/>
      <c r="AF395" s="102"/>
      <c r="AG395" s="102"/>
      <c r="AH395" s="102"/>
      <c r="AI395" s="102"/>
      <c r="AJ395" s="906"/>
      <c r="AK395" s="102"/>
      <c r="AL395" s="915"/>
      <c r="AM395" s="915"/>
      <c r="AN395" s="114"/>
      <c r="AO395" s="64"/>
      <c r="AP395" s="64"/>
      <c r="AQ395" s="64"/>
      <c r="AR395" s="916"/>
      <c r="AS395" s="916"/>
      <c r="AT395" s="916"/>
      <c r="AU395" s="917"/>
      <c r="AV395" s="917"/>
      <c r="AW395" s="917"/>
      <c r="AX395" s="918"/>
      <c r="AY395" s="916"/>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917"/>
      <c r="CA395" s="917"/>
      <c r="CB395" s="64"/>
      <c r="CC395" s="919"/>
      <c r="CD395" s="919"/>
      <c r="CE395" s="64"/>
      <c r="CF395" s="528"/>
      <c r="CG395" s="529"/>
      <c r="CH395" s="64"/>
      <c r="CI395" s="64"/>
      <c r="CJ395" s="64"/>
      <c r="CK395" s="64"/>
      <c r="CL395" s="64"/>
      <c r="CM395" s="64"/>
      <c r="CN395" s="64"/>
      <c r="CO395" s="64"/>
      <c r="CP395" s="64"/>
      <c r="CQ395" s="64"/>
      <c r="CR395" s="64"/>
      <c r="CS395" s="64"/>
      <c r="CT395" s="64"/>
      <c r="CU395" s="64"/>
      <c r="CV395" s="64"/>
      <c r="CW395" s="64"/>
      <c r="CX395" s="64"/>
      <c r="CY395" s="1011"/>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c r="FC395" s="64"/>
      <c r="FD395" s="64"/>
      <c r="FE395" s="64"/>
      <c r="FF395" s="64"/>
      <c r="FG395" s="64"/>
      <c r="FH395" s="64"/>
      <c r="FI395" s="64"/>
      <c r="FJ395" s="64"/>
      <c r="FK395" s="64"/>
      <c r="FL395" s="64"/>
      <c r="FM395" s="64"/>
      <c r="FN395" s="64"/>
      <c r="FO395" s="64"/>
      <c r="FP395" s="64"/>
      <c r="FQ395" s="64"/>
      <c r="FR395" s="64"/>
      <c r="FS395" s="64"/>
      <c r="FT395" s="64"/>
      <c r="FU395" s="64"/>
      <c r="FV395" s="64"/>
      <c r="FW395" s="64"/>
      <c r="FX395" s="64"/>
      <c r="FY395" s="64"/>
      <c r="FZ395" s="64"/>
      <c r="GA395" s="64"/>
      <c r="GB395" s="64"/>
      <c r="GC395" s="64"/>
      <c r="GD395" s="64"/>
      <c r="GE395" s="64"/>
      <c r="GF395" s="64"/>
      <c r="GG395" s="64"/>
      <c r="GH395" s="64"/>
      <c r="GI395" s="64"/>
      <c r="GJ395" s="64"/>
      <c r="GK395" s="64"/>
      <c r="GL395" s="64"/>
      <c r="GM395" s="64"/>
      <c r="GN395" s="64"/>
      <c r="GO395" s="64"/>
      <c r="GP395" s="64"/>
      <c r="GQ395" s="64"/>
      <c r="GR395" s="64"/>
      <c r="GS395" s="64"/>
      <c r="GT395" s="64"/>
      <c r="GU395" s="64"/>
      <c r="GV395" s="64"/>
      <c r="GW395" s="64"/>
      <c r="GX395" s="64"/>
      <c r="GY395" s="64"/>
      <c r="GZ395" s="64"/>
      <c r="HA395" s="64"/>
      <c r="HB395" s="64"/>
      <c r="HC395" s="64"/>
      <c r="HD395" s="64"/>
      <c r="HE395" s="64"/>
      <c r="HF395" s="64"/>
      <c r="HG395" s="64"/>
      <c r="HH395" s="64"/>
      <c r="HI395" s="64"/>
      <c r="HJ395" s="64"/>
      <c r="HK395" s="64"/>
      <c r="HL395" s="64"/>
      <c r="HM395" s="64"/>
      <c r="HN395" s="64"/>
      <c r="HO395" s="64"/>
      <c r="HP395" s="64"/>
      <c r="HQ395" s="64"/>
      <c r="HR395" s="64"/>
      <c r="HS395" s="64"/>
      <c r="HT395" s="64"/>
      <c r="HU395" s="64"/>
      <c r="HV395" s="64"/>
      <c r="HW395" s="64"/>
      <c r="HX395" s="64"/>
      <c r="HY395" s="64"/>
      <c r="HZ395" s="64"/>
      <c r="IA395" s="64"/>
      <c r="IB395" s="64"/>
      <c r="IC395" s="64"/>
      <c r="ID395" s="64"/>
      <c r="IE395" s="64"/>
      <c r="IF395" s="64"/>
      <c r="IG395" s="64"/>
      <c r="IH395" s="64"/>
      <c r="II395" s="64"/>
      <c r="IJ395" s="64"/>
      <c r="IK395" s="64"/>
      <c r="IL395" s="64"/>
      <c r="IM395" s="64"/>
      <c r="IN395" s="64"/>
      <c r="IO395" s="64"/>
      <c r="IP395" s="64"/>
      <c r="IQ395" s="64"/>
      <c r="IR395" s="64"/>
      <c r="IS395" s="64"/>
      <c r="IT395" s="64"/>
      <c r="IU395" s="64"/>
      <c r="IV395" s="64"/>
      <c r="IW395" s="64"/>
      <c r="IX395" s="64"/>
      <c r="IY395" s="64"/>
      <c r="IZ395" s="64"/>
      <c r="JA395" s="64"/>
      <c r="JB395" s="64"/>
      <c r="JC395" s="64"/>
      <c r="JD395" s="64"/>
      <c r="JE395" s="64"/>
      <c r="JF395" s="64"/>
      <c r="JG395" s="64"/>
      <c r="JH395" s="64"/>
      <c r="JI395" s="64"/>
    </row>
    <row r="396" spans="1:269" s="920" customFormat="1" x14ac:dyDescent="0.2">
      <c r="A396" s="116"/>
      <c r="B396" s="64"/>
      <c r="C396" s="64"/>
      <c r="D396" s="64"/>
      <c r="E396" s="64"/>
      <c r="F396" s="64"/>
      <c r="G396" s="64"/>
      <c r="H396" s="64"/>
      <c r="I396" s="64"/>
      <c r="J396" s="116"/>
      <c r="K396" s="116"/>
      <c r="L396" s="116"/>
      <c r="M396" s="116"/>
      <c r="N396" s="116"/>
      <c r="O396" s="116"/>
      <c r="P396" s="116"/>
      <c r="Q396" s="102"/>
      <c r="R396" s="102"/>
      <c r="S396" s="102"/>
      <c r="T396" s="102"/>
      <c r="U396" s="913"/>
      <c r="V396" s="114"/>
      <c r="W396" s="805"/>
      <c r="X396" s="805"/>
      <c r="Y396" s="805"/>
      <c r="Z396" s="914"/>
      <c r="AA396" s="102"/>
      <c r="AB396" s="102"/>
      <c r="AC396" s="102"/>
      <c r="AD396" s="102"/>
      <c r="AE396" s="102"/>
      <c r="AF396" s="102"/>
      <c r="AG396" s="102"/>
      <c r="AH396" s="102"/>
      <c r="AI396" s="102"/>
      <c r="AJ396" s="906"/>
      <c r="AK396" s="102"/>
      <c r="AL396" s="915"/>
      <c r="AM396" s="915"/>
      <c r="AN396" s="114"/>
      <c r="AO396" s="64"/>
      <c r="AP396" s="64"/>
      <c r="AQ396" s="64"/>
      <c r="AR396" s="916"/>
      <c r="AS396" s="916"/>
      <c r="AT396" s="916"/>
      <c r="AU396" s="917"/>
      <c r="AV396" s="917"/>
      <c r="AW396" s="917"/>
      <c r="AX396" s="918"/>
      <c r="AY396" s="916"/>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917"/>
      <c r="CA396" s="917"/>
      <c r="CB396" s="64"/>
      <c r="CC396" s="919"/>
      <c r="CD396" s="919"/>
      <c r="CE396" s="64"/>
      <c r="CF396" s="528"/>
      <c r="CG396" s="529"/>
      <c r="CH396" s="64"/>
      <c r="CI396" s="64"/>
      <c r="CJ396" s="64"/>
      <c r="CK396" s="64"/>
      <c r="CL396" s="64"/>
      <c r="CM396" s="64"/>
      <c r="CN396" s="64"/>
      <c r="CO396" s="64"/>
      <c r="CP396" s="64"/>
      <c r="CQ396" s="64"/>
      <c r="CR396" s="64"/>
      <c r="CS396" s="64"/>
      <c r="CT396" s="64"/>
      <c r="CU396" s="64"/>
      <c r="CV396" s="64"/>
      <c r="CW396" s="64"/>
      <c r="CX396" s="64"/>
      <c r="CY396" s="1011"/>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c r="FC396" s="64"/>
      <c r="FD396" s="64"/>
      <c r="FE396" s="64"/>
      <c r="FF396" s="64"/>
      <c r="FG396" s="64"/>
      <c r="FH396" s="64"/>
      <c r="FI396" s="64"/>
      <c r="FJ396" s="64"/>
      <c r="FK396" s="64"/>
      <c r="FL396" s="64"/>
      <c r="FM396" s="64"/>
      <c r="FN396" s="64"/>
      <c r="FO396" s="64"/>
      <c r="FP396" s="64"/>
      <c r="FQ396" s="64"/>
      <c r="FR396" s="64"/>
      <c r="FS396" s="64"/>
      <c r="FT396" s="64"/>
      <c r="FU396" s="64"/>
      <c r="FV396" s="64"/>
      <c r="FW396" s="64"/>
      <c r="FX396" s="64"/>
      <c r="FY396" s="64"/>
      <c r="FZ396" s="64"/>
      <c r="GA396" s="64"/>
      <c r="GB396" s="64"/>
      <c r="GC396" s="64"/>
      <c r="GD396" s="64"/>
      <c r="GE396" s="64"/>
      <c r="GF396" s="64"/>
      <c r="GG396" s="64"/>
      <c r="GH396" s="64"/>
      <c r="GI396" s="64"/>
      <c r="GJ396" s="64"/>
      <c r="GK396" s="64"/>
      <c r="GL396" s="64"/>
      <c r="GM396" s="64"/>
      <c r="GN396" s="64"/>
      <c r="GO396" s="64"/>
      <c r="GP396" s="64"/>
      <c r="GQ396" s="64"/>
      <c r="GR396" s="64"/>
      <c r="GS396" s="64"/>
      <c r="GT396" s="64"/>
      <c r="GU396" s="64"/>
      <c r="GV396" s="64"/>
      <c r="GW396" s="64"/>
      <c r="GX396" s="64"/>
      <c r="GY396" s="64"/>
      <c r="GZ396" s="64"/>
      <c r="HA396" s="64"/>
      <c r="HB396" s="64"/>
      <c r="HC396" s="64"/>
      <c r="HD396" s="64"/>
      <c r="HE396" s="64"/>
      <c r="HF396" s="64"/>
      <c r="HG396" s="64"/>
      <c r="HH396" s="64"/>
      <c r="HI396" s="64"/>
      <c r="HJ396" s="64"/>
      <c r="HK396" s="64"/>
      <c r="HL396" s="64"/>
      <c r="HM396" s="64"/>
      <c r="HN396" s="64"/>
      <c r="HO396" s="64"/>
      <c r="HP396" s="64"/>
      <c r="HQ396" s="64"/>
      <c r="HR396" s="64"/>
      <c r="HS396" s="64"/>
      <c r="HT396" s="64"/>
      <c r="HU396" s="64"/>
      <c r="HV396" s="64"/>
      <c r="HW396" s="64"/>
      <c r="HX396" s="64"/>
      <c r="HY396" s="64"/>
      <c r="HZ396" s="64"/>
      <c r="IA396" s="64"/>
      <c r="IB396" s="64"/>
      <c r="IC396" s="64"/>
      <c r="ID396" s="64"/>
      <c r="IE396" s="64"/>
      <c r="IF396" s="64"/>
      <c r="IG396" s="64"/>
      <c r="IH396" s="64"/>
      <c r="II396" s="64"/>
      <c r="IJ396" s="64"/>
      <c r="IK396" s="64"/>
      <c r="IL396" s="64"/>
      <c r="IM396" s="64"/>
      <c r="IN396" s="64"/>
      <c r="IO396" s="64"/>
      <c r="IP396" s="64"/>
      <c r="IQ396" s="64"/>
      <c r="IR396" s="64"/>
      <c r="IS396" s="64"/>
      <c r="IT396" s="64"/>
      <c r="IU396" s="64"/>
      <c r="IV396" s="64"/>
      <c r="IW396" s="64"/>
      <c r="IX396" s="64"/>
      <c r="IY396" s="64"/>
      <c r="IZ396" s="64"/>
      <c r="JA396" s="64"/>
      <c r="JB396" s="64"/>
      <c r="JC396" s="64"/>
      <c r="JD396" s="64"/>
      <c r="JE396" s="64"/>
      <c r="JF396" s="64"/>
      <c r="JG396" s="64"/>
      <c r="JH396" s="64"/>
      <c r="JI396" s="64"/>
    </row>
    <row r="397" spans="1:269" s="920" customFormat="1" x14ac:dyDescent="0.2">
      <c r="A397" s="116"/>
      <c r="B397" s="64"/>
      <c r="C397" s="64"/>
      <c r="D397" s="64"/>
      <c r="E397" s="64"/>
      <c r="F397" s="64"/>
      <c r="G397" s="64"/>
      <c r="H397" s="64"/>
      <c r="I397" s="64"/>
      <c r="J397" s="116"/>
      <c r="K397" s="116"/>
      <c r="L397" s="116"/>
      <c r="M397" s="116"/>
      <c r="N397" s="116"/>
      <c r="O397" s="116"/>
      <c r="P397" s="116"/>
      <c r="Q397" s="102"/>
      <c r="R397" s="102"/>
      <c r="S397" s="102"/>
      <c r="T397" s="102"/>
      <c r="U397" s="913"/>
      <c r="V397" s="114"/>
      <c r="W397" s="805"/>
      <c r="X397" s="805"/>
      <c r="Y397" s="805"/>
      <c r="Z397" s="914"/>
      <c r="AA397" s="102"/>
      <c r="AB397" s="102"/>
      <c r="AC397" s="102"/>
      <c r="AD397" s="102"/>
      <c r="AE397" s="102"/>
      <c r="AF397" s="102"/>
      <c r="AG397" s="102"/>
      <c r="AH397" s="102"/>
      <c r="AI397" s="102"/>
      <c r="AJ397" s="906"/>
      <c r="AK397" s="102"/>
      <c r="AL397" s="915"/>
      <c r="AM397" s="915"/>
      <c r="AN397" s="114"/>
      <c r="AO397" s="64"/>
      <c r="AP397" s="64"/>
      <c r="AQ397" s="64"/>
      <c r="AR397" s="916"/>
      <c r="AS397" s="916"/>
      <c r="AT397" s="916"/>
      <c r="AU397" s="917"/>
      <c r="AV397" s="917"/>
      <c r="AW397" s="917"/>
      <c r="AX397" s="918"/>
      <c r="AY397" s="916"/>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917"/>
      <c r="CA397" s="917"/>
      <c r="CB397" s="64"/>
      <c r="CC397" s="919"/>
      <c r="CD397" s="919"/>
      <c r="CE397" s="64"/>
      <c r="CF397" s="528"/>
      <c r="CG397" s="529"/>
      <c r="CH397" s="64"/>
      <c r="CI397" s="64"/>
      <c r="CJ397" s="64"/>
      <c r="CK397" s="64"/>
      <c r="CL397" s="64"/>
      <c r="CM397" s="64"/>
      <c r="CN397" s="64"/>
      <c r="CO397" s="64"/>
      <c r="CP397" s="64"/>
      <c r="CQ397" s="64"/>
      <c r="CR397" s="64"/>
      <c r="CS397" s="64"/>
      <c r="CT397" s="64"/>
      <c r="CU397" s="64"/>
      <c r="CV397" s="64"/>
      <c r="CW397" s="64"/>
      <c r="CX397" s="64"/>
      <c r="CY397" s="1011"/>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c r="FC397" s="64"/>
      <c r="FD397" s="64"/>
      <c r="FE397" s="64"/>
      <c r="FF397" s="64"/>
      <c r="FG397" s="64"/>
      <c r="FH397" s="64"/>
      <c r="FI397" s="64"/>
      <c r="FJ397" s="64"/>
      <c r="FK397" s="64"/>
      <c r="FL397" s="64"/>
      <c r="FM397" s="64"/>
      <c r="FN397" s="64"/>
      <c r="FO397" s="64"/>
      <c r="FP397" s="64"/>
      <c r="FQ397" s="64"/>
      <c r="FR397" s="64"/>
      <c r="FS397" s="64"/>
      <c r="FT397" s="64"/>
      <c r="FU397" s="64"/>
      <c r="FV397" s="64"/>
      <c r="FW397" s="64"/>
      <c r="FX397" s="64"/>
      <c r="FY397" s="64"/>
      <c r="FZ397" s="64"/>
      <c r="GA397" s="64"/>
      <c r="GB397" s="64"/>
      <c r="GC397" s="64"/>
      <c r="GD397" s="64"/>
      <c r="GE397" s="64"/>
      <c r="GF397" s="64"/>
      <c r="GG397" s="64"/>
      <c r="GH397" s="64"/>
      <c r="GI397" s="64"/>
      <c r="GJ397" s="64"/>
      <c r="GK397" s="64"/>
      <c r="GL397" s="64"/>
      <c r="GM397" s="64"/>
      <c r="GN397" s="64"/>
      <c r="GO397" s="64"/>
      <c r="GP397" s="64"/>
      <c r="GQ397" s="64"/>
      <c r="GR397" s="64"/>
      <c r="GS397" s="64"/>
      <c r="GT397" s="64"/>
      <c r="GU397" s="64"/>
      <c r="GV397" s="64"/>
      <c r="GW397" s="64"/>
      <c r="GX397" s="64"/>
      <c r="GY397" s="64"/>
      <c r="GZ397" s="64"/>
      <c r="HA397" s="64"/>
      <c r="HB397" s="64"/>
      <c r="HC397" s="64"/>
      <c r="HD397" s="64"/>
      <c r="HE397" s="64"/>
      <c r="HF397" s="64"/>
      <c r="HG397" s="64"/>
      <c r="HH397" s="64"/>
      <c r="HI397" s="64"/>
      <c r="HJ397" s="64"/>
      <c r="HK397" s="64"/>
      <c r="HL397" s="64"/>
      <c r="HM397" s="64"/>
      <c r="HN397" s="64"/>
      <c r="HO397" s="64"/>
      <c r="HP397" s="64"/>
      <c r="HQ397" s="64"/>
      <c r="HR397" s="64"/>
      <c r="HS397" s="64"/>
      <c r="HT397" s="64"/>
      <c r="HU397" s="64"/>
      <c r="HV397" s="64"/>
      <c r="HW397" s="64"/>
      <c r="HX397" s="64"/>
      <c r="HY397" s="64"/>
      <c r="HZ397" s="64"/>
      <c r="IA397" s="64"/>
      <c r="IB397" s="64"/>
      <c r="IC397" s="64"/>
      <c r="ID397" s="64"/>
      <c r="IE397" s="64"/>
      <c r="IF397" s="64"/>
      <c r="IG397" s="64"/>
      <c r="IH397" s="64"/>
      <c r="II397" s="64"/>
      <c r="IJ397" s="64"/>
      <c r="IK397" s="64"/>
      <c r="IL397" s="64"/>
      <c r="IM397" s="64"/>
      <c r="IN397" s="64"/>
      <c r="IO397" s="64"/>
      <c r="IP397" s="64"/>
      <c r="IQ397" s="64"/>
      <c r="IR397" s="64"/>
      <c r="IS397" s="64"/>
      <c r="IT397" s="64"/>
      <c r="IU397" s="64"/>
      <c r="IV397" s="64"/>
      <c r="IW397" s="64"/>
      <c r="IX397" s="64"/>
      <c r="IY397" s="64"/>
      <c r="IZ397" s="64"/>
      <c r="JA397" s="64"/>
      <c r="JB397" s="64"/>
      <c r="JC397" s="64"/>
      <c r="JD397" s="64"/>
      <c r="JE397" s="64"/>
      <c r="JF397" s="64"/>
      <c r="JG397" s="64"/>
      <c r="JH397" s="64"/>
      <c r="JI397" s="64"/>
    </row>
    <row r="398" spans="1:269" s="920" customFormat="1" x14ac:dyDescent="0.2">
      <c r="A398" s="116"/>
      <c r="B398" s="64"/>
      <c r="C398" s="64"/>
      <c r="D398" s="64"/>
      <c r="E398" s="64"/>
      <c r="F398" s="64"/>
      <c r="G398" s="64"/>
      <c r="H398" s="64"/>
      <c r="I398" s="64"/>
      <c r="J398" s="116"/>
      <c r="K398" s="116"/>
      <c r="L398" s="116"/>
      <c r="M398" s="116"/>
      <c r="N398" s="116"/>
      <c r="O398" s="116"/>
      <c r="P398" s="116"/>
      <c r="Q398" s="102"/>
      <c r="R398" s="102"/>
      <c r="S398" s="102"/>
      <c r="T398" s="102"/>
      <c r="U398" s="913"/>
      <c r="V398" s="114"/>
      <c r="W398" s="805"/>
      <c r="X398" s="805"/>
      <c r="Y398" s="805"/>
      <c r="Z398" s="914"/>
      <c r="AA398" s="102"/>
      <c r="AB398" s="102"/>
      <c r="AC398" s="102"/>
      <c r="AD398" s="102"/>
      <c r="AE398" s="102"/>
      <c r="AF398" s="102"/>
      <c r="AG398" s="102"/>
      <c r="AH398" s="102"/>
      <c r="AI398" s="102"/>
      <c r="AJ398" s="906"/>
      <c r="AK398" s="102"/>
      <c r="AL398" s="915"/>
      <c r="AM398" s="915"/>
      <c r="AN398" s="114"/>
      <c r="AO398" s="64"/>
      <c r="AP398" s="64"/>
      <c r="AQ398" s="64"/>
      <c r="AR398" s="916"/>
      <c r="AS398" s="916"/>
      <c r="AT398" s="916"/>
      <c r="AU398" s="917"/>
      <c r="AV398" s="917"/>
      <c r="AW398" s="917"/>
      <c r="AX398" s="918"/>
      <c r="AY398" s="916"/>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917"/>
      <c r="CA398" s="917"/>
      <c r="CB398" s="64"/>
      <c r="CC398" s="919"/>
      <c r="CD398" s="919"/>
      <c r="CE398" s="64"/>
      <c r="CF398" s="528"/>
      <c r="CG398" s="529"/>
      <c r="CH398" s="64"/>
      <c r="CI398" s="64"/>
      <c r="CJ398" s="64"/>
      <c r="CK398" s="64"/>
      <c r="CL398" s="64"/>
      <c r="CM398" s="64"/>
      <c r="CN398" s="64"/>
      <c r="CO398" s="64"/>
      <c r="CP398" s="64"/>
      <c r="CQ398" s="64"/>
      <c r="CR398" s="64"/>
      <c r="CS398" s="64"/>
      <c r="CT398" s="64"/>
      <c r="CU398" s="64"/>
      <c r="CV398" s="64"/>
      <c r="CW398" s="64"/>
      <c r="CX398" s="64"/>
      <c r="CY398" s="1011"/>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c r="FC398" s="64"/>
      <c r="FD398" s="64"/>
      <c r="FE398" s="64"/>
      <c r="FF398" s="64"/>
      <c r="FG398" s="64"/>
      <c r="FH398" s="64"/>
      <c r="FI398" s="64"/>
      <c r="FJ398" s="64"/>
      <c r="FK398" s="64"/>
      <c r="FL398" s="64"/>
      <c r="FM398" s="64"/>
      <c r="FN398" s="64"/>
      <c r="FO398" s="64"/>
      <c r="FP398" s="64"/>
      <c r="FQ398" s="64"/>
      <c r="FR398" s="64"/>
      <c r="FS398" s="64"/>
      <c r="FT398" s="64"/>
      <c r="FU398" s="64"/>
      <c r="FV398" s="64"/>
      <c r="FW398" s="64"/>
      <c r="FX398" s="64"/>
      <c r="FY398" s="64"/>
      <c r="FZ398" s="64"/>
      <c r="GA398" s="64"/>
      <c r="GB398" s="64"/>
      <c r="GC398" s="64"/>
      <c r="GD398" s="64"/>
      <c r="GE398" s="64"/>
      <c r="GF398" s="64"/>
      <c r="GG398" s="64"/>
      <c r="GH398" s="64"/>
      <c r="GI398" s="64"/>
      <c r="GJ398" s="64"/>
      <c r="GK398" s="64"/>
      <c r="GL398" s="64"/>
      <c r="GM398" s="64"/>
      <c r="GN398" s="64"/>
      <c r="GO398" s="64"/>
      <c r="GP398" s="64"/>
      <c r="GQ398" s="64"/>
      <c r="GR398" s="64"/>
      <c r="GS398" s="64"/>
      <c r="GT398" s="64"/>
      <c r="GU398" s="64"/>
      <c r="GV398" s="64"/>
      <c r="GW398" s="64"/>
      <c r="GX398" s="64"/>
      <c r="GY398" s="64"/>
      <c r="GZ398" s="64"/>
      <c r="HA398" s="64"/>
      <c r="HB398" s="64"/>
      <c r="HC398" s="64"/>
      <c r="HD398" s="64"/>
      <c r="HE398" s="64"/>
      <c r="HF398" s="64"/>
      <c r="HG398" s="64"/>
      <c r="HH398" s="64"/>
      <c r="HI398" s="64"/>
      <c r="HJ398" s="64"/>
      <c r="HK398" s="64"/>
      <c r="HL398" s="64"/>
      <c r="HM398" s="64"/>
      <c r="HN398" s="64"/>
      <c r="HO398" s="64"/>
      <c r="HP398" s="64"/>
      <c r="HQ398" s="64"/>
      <c r="HR398" s="64"/>
      <c r="HS398" s="64"/>
      <c r="HT398" s="64"/>
      <c r="HU398" s="64"/>
      <c r="HV398" s="64"/>
      <c r="HW398" s="64"/>
      <c r="HX398" s="64"/>
      <c r="HY398" s="64"/>
      <c r="HZ398" s="64"/>
      <c r="IA398" s="64"/>
      <c r="IB398" s="64"/>
      <c r="IC398" s="64"/>
      <c r="ID398" s="64"/>
      <c r="IE398" s="64"/>
      <c r="IF398" s="64"/>
      <c r="IG398" s="64"/>
      <c r="IH398" s="64"/>
      <c r="II398" s="64"/>
      <c r="IJ398" s="64"/>
      <c r="IK398" s="64"/>
      <c r="IL398" s="64"/>
      <c r="IM398" s="64"/>
      <c r="IN398" s="64"/>
      <c r="IO398" s="64"/>
      <c r="IP398" s="64"/>
      <c r="IQ398" s="64"/>
      <c r="IR398" s="64"/>
      <c r="IS398" s="64"/>
      <c r="IT398" s="64"/>
      <c r="IU398" s="64"/>
      <c r="IV398" s="64"/>
      <c r="IW398" s="64"/>
      <c r="IX398" s="64"/>
      <c r="IY398" s="64"/>
      <c r="IZ398" s="64"/>
      <c r="JA398" s="64"/>
      <c r="JB398" s="64"/>
      <c r="JC398" s="64"/>
      <c r="JD398" s="64"/>
      <c r="JE398" s="64"/>
      <c r="JF398" s="64"/>
      <c r="JG398" s="64"/>
      <c r="JH398" s="64"/>
      <c r="JI398" s="64"/>
    </row>
    <row r="399" spans="1:269" s="920" customFormat="1" x14ac:dyDescent="0.2">
      <c r="A399" s="116"/>
      <c r="B399" s="64"/>
      <c r="C399" s="64"/>
      <c r="D399" s="64"/>
      <c r="E399" s="64"/>
      <c r="F399" s="64"/>
      <c r="G399" s="64"/>
      <c r="H399" s="64"/>
      <c r="I399" s="64"/>
      <c r="J399" s="116"/>
      <c r="K399" s="116"/>
      <c r="L399" s="116"/>
      <c r="M399" s="116"/>
      <c r="N399" s="116"/>
      <c r="O399" s="116"/>
      <c r="P399" s="116"/>
      <c r="Q399" s="102"/>
      <c r="R399" s="102"/>
      <c r="S399" s="102"/>
      <c r="T399" s="102"/>
      <c r="U399" s="913"/>
      <c r="V399" s="114"/>
      <c r="W399" s="805"/>
      <c r="X399" s="805"/>
      <c r="Y399" s="805"/>
      <c r="Z399" s="914"/>
      <c r="AA399" s="102"/>
      <c r="AB399" s="102"/>
      <c r="AC399" s="102"/>
      <c r="AD399" s="102"/>
      <c r="AE399" s="102"/>
      <c r="AF399" s="102"/>
      <c r="AG399" s="102"/>
      <c r="AH399" s="102"/>
      <c r="AI399" s="102"/>
      <c r="AJ399" s="906"/>
      <c r="AK399" s="102"/>
      <c r="AL399" s="915"/>
      <c r="AM399" s="915"/>
      <c r="AN399" s="114"/>
      <c r="AO399" s="64"/>
      <c r="AP399" s="64"/>
      <c r="AQ399" s="64"/>
      <c r="AR399" s="916"/>
      <c r="AS399" s="916"/>
      <c r="AT399" s="916"/>
      <c r="AU399" s="917"/>
      <c r="AV399" s="917"/>
      <c r="AW399" s="917"/>
      <c r="AX399" s="918"/>
      <c r="AY399" s="916"/>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917"/>
      <c r="CA399" s="917"/>
      <c r="CB399" s="64"/>
      <c r="CC399" s="919"/>
      <c r="CD399" s="919"/>
      <c r="CE399" s="64"/>
      <c r="CF399" s="528"/>
      <c r="CG399" s="529"/>
      <c r="CH399" s="64"/>
      <c r="CI399" s="64"/>
      <c r="CJ399" s="64"/>
      <c r="CK399" s="64"/>
      <c r="CL399" s="64"/>
      <c r="CM399" s="64"/>
      <c r="CN399" s="64"/>
      <c r="CO399" s="64"/>
      <c r="CP399" s="64"/>
      <c r="CQ399" s="64"/>
      <c r="CR399" s="64"/>
      <c r="CS399" s="64"/>
      <c r="CT399" s="64"/>
      <c r="CU399" s="64"/>
      <c r="CV399" s="64"/>
      <c r="CW399" s="64"/>
      <c r="CX399" s="64"/>
      <c r="CY399" s="1011"/>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c r="FC399" s="64"/>
      <c r="FD399" s="64"/>
      <c r="FE399" s="64"/>
      <c r="FF399" s="64"/>
      <c r="FG399" s="64"/>
      <c r="FH399" s="64"/>
      <c r="FI399" s="64"/>
      <c r="FJ399" s="64"/>
      <c r="FK399" s="64"/>
      <c r="FL399" s="64"/>
      <c r="FM399" s="64"/>
      <c r="FN399" s="64"/>
      <c r="FO399" s="64"/>
      <c r="FP399" s="64"/>
      <c r="FQ399" s="64"/>
      <c r="FR399" s="64"/>
      <c r="FS399" s="64"/>
      <c r="FT399" s="64"/>
      <c r="FU399" s="64"/>
      <c r="FV399" s="64"/>
      <c r="FW399" s="64"/>
      <c r="FX399" s="64"/>
      <c r="FY399" s="64"/>
      <c r="FZ399" s="64"/>
      <c r="GA399" s="64"/>
      <c r="GB399" s="64"/>
      <c r="GC399" s="64"/>
      <c r="GD399" s="64"/>
      <c r="GE399" s="64"/>
      <c r="GF399" s="64"/>
      <c r="GG399" s="64"/>
      <c r="GH399" s="64"/>
      <c r="GI399" s="64"/>
      <c r="GJ399" s="64"/>
      <c r="GK399" s="64"/>
      <c r="GL399" s="64"/>
      <c r="GM399" s="64"/>
      <c r="GN399" s="64"/>
      <c r="GO399" s="64"/>
      <c r="GP399" s="64"/>
      <c r="GQ399" s="64"/>
      <c r="GR399" s="64"/>
      <c r="GS399" s="64"/>
      <c r="GT399" s="64"/>
      <c r="GU399" s="64"/>
      <c r="GV399" s="64"/>
      <c r="GW399" s="64"/>
      <c r="GX399" s="64"/>
      <c r="GY399" s="64"/>
      <c r="GZ399" s="64"/>
      <c r="HA399" s="64"/>
      <c r="HB399" s="64"/>
      <c r="HC399" s="64"/>
      <c r="HD399" s="64"/>
      <c r="HE399" s="64"/>
      <c r="HF399" s="64"/>
      <c r="HG399" s="64"/>
      <c r="HH399" s="64"/>
      <c r="HI399" s="64"/>
      <c r="HJ399" s="64"/>
      <c r="HK399" s="64"/>
      <c r="HL399" s="64"/>
      <c r="HM399" s="64"/>
      <c r="HN399" s="64"/>
      <c r="HO399" s="64"/>
      <c r="HP399" s="64"/>
      <c r="HQ399" s="64"/>
      <c r="HR399" s="64"/>
      <c r="HS399" s="64"/>
      <c r="HT399" s="64"/>
      <c r="HU399" s="64"/>
      <c r="HV399" s="64"/>
      <c r="HW399" s="64"/>
      <c r="HX399" s="64"/>
      <c r="HY399" s="64"/>
      <c r="HZ399" s="64"/>
      <c r="IA399" s="64"/>
      <c r="IB399" s="64"/>
      <c r="IC399" s="64"/>
      <c r="ID399" s="64"/>
      <c r="IE399" s="64"/>
      <c r="IF399" s="64"/>
      <c r="IG399" s="64"/>
      <c r="IH399" s="64"/>
      <c r="II399" s="64"/>
      <c r="IJ399" s="64"/>
      <c r="IK399" s="64"/>
      <c r="IL399" s="64"/>
      <c r="IM399" s="64"/>
      <c r="IN399" s="64"/>
      <c r="IO399" s="64"/>
      <c r="IP399" s="64"/>
      <c r="IQ399" s="64"/>
      <c r="IR399" s="64"/>
      <c r="IS399" s="64"/>
      <c r="IT399" s="64"/>
      <c r="IU399" s="64"/>
      <c r="IV399" s="64"/>
      <c r="IW399" s="64"/>
      <c r="IX399" s="64"/>
      <c r="IY399" s="64"/>
      <c r="IZ399" s="64"/>
      <c r="JA399" s="64"/>
      <c r="JB399" s="64"/>
      <c r="JC399" s="64"/>
      <c r="JD399" s="64"/>
      <c r="JE399" s="64"/>
      <c r="JF399" s="64"/>
      <c r="JG399" s="64"/>
      <c r="JH399" s="64"/>
      <c r="JI399" s="64"/>
    </row>
    <row r="400" spans="1:269" s="920" customFormat="1" x14ac:dyDescent="0.2">
      <c r="A400" s="116"/>
      <c r="B400" s="64"/>
      <c r="C400" s="64"/>
      <c r="D400" s="64"/>
      <c r="E400" s="64"/>
      <c r="F400" s="64"/>
      <c r="G400" s="64"/>
      <c r="H400" s="64"/>
      <c r="I400" s="64"/>
      <c r="J400" s="116"/>
      <c r="K400" s="116"/>
      <c r="L400" s="116"/>
      <c r="M400" s="116"/>
      <c r="N400" s="116"/>
      <c r="O400" s="116"/>
      <c r="P400" s="116"/>
      <c r="Q400" s="102"/>
      <c r="R400" s="102"/>
      <c r="S400" s="102"/>
      <c r="T400" s="102"/>
      <c r="U400" s="913"/>
      <c r="V400" s="114"/>
      <c r="W400" s="805"/>
      <c r="X400" s="805"/>
      <c r="Y400" s="805"/>
      <c r="Z400" s="914"/>
      <c r="AA400" s="102"/>
      <c r="AB400" s="102"/>
      <c r="AC400" s="102"/>
      <c r="AD400" s="102"/>
      <c r="AE400" s="102"/>
      <c r="AF400" s="102"/>
      <c r="AG400" s="102"/>
      <c r="AH400" s="102"/>
      <c r="AI400" s="102"/>
      <c r="AJ400" s="906"/>
      <c r="AK400" s="102"/>
      <c r="AL400" s="915"/>
      <c r="AM400" s="915"/>
      <c r="AN400" s="114"/>
      <c r="AO400" s="64"/>
      <c r="AP400" s="64"/>
      <c r="AQ400" s="64"/>
      <c r="AR400" s="916"/>
      <c r="AS400" s="916"/>
      <c r="AT400" s="916"/>
      <c r="AU400" s="917"/>
      <c r="AV400" s="917"/>
      <c r="AW400" s="917"/>
      <c r="AX400" s="918"/>
      <c r="AY400" s="916"/>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917"/>
      <c r="CA400" s="917"/>
      <c r="CB400" s="64"/>
      <c r="CC400" s="919"/>
      <c r="CD400" s="919"/>
      <c r="CE400" s="64"/>
      <c r="CF400" s="528"/>
      <c r="CG400" s="529"/>
      <c r="CH400" s="64"/>
      <c r="CI400" s="64"/>
      <c r="CJ400" s="64"/>
      <c r="CK400" s="64"/>
      <c r="CL400" s="64"/>
      <c r="CM400" s="64"/>
      <c r="CN400" s="64"/>
      <c r="CO400" s="64"/>
      <c r="CP400" s="64"/>
      <c r="CQ400" s="64"/>
      <c r="CR400" s="64"/>
      <c r="CS400" s="64"/>
      <c r="CT400" s="64"/>
      <c r="CU400" s="64"/>
      <c r="CV400" s="64"/>
      <c r="CW400" s="64"/>
      <c r="CX400" s="64"/>
      <c r="CY400" s="1011"/>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c r="FC400" s="64"/>
      <c r="FD400" s="64"/>
      <c r="FE400" s="64"/>
      <c r="FF400" s="64"/>
      <c r="FG400" s="64"/>
      <c r="FH400" s="64"/>
      <c r="FI400" s="64"/>
      <c r="FJ400" s="64"/>
      <c r="FK400" s="64"/>
      <c r="FL400" s="64"/>
      <c r="FM400" s="64"/>
      <c r="FN400" s="64"/>
      <c r="FO400" s="64"/>
      <c r="FP400" s="64"/>
      <c r="FQ400" s="64"/>
      <c r="FR400" s="64"/>
      <c r="FS400" s="64"/>
      <c r="FT400" s="64"/>
      <c r="FU400" s="64"/>
      <c r="FV400" s="64"/>
      <c r="FW400" s="64"/>
      <c r="FX400" s="64"/>
      <c r="FY400" s="64"/>
      <c r="FZ400" s="64"/>
      <c r="GA400" s="64"/>
      <c r="GB400" s="64"/>
      <c r="GC400" s="64"/>
      <c r="GD400" s="64"/>
      <c r="GE400" s="64"/>
      <c r="GF400" s="64"/>
      <c r="GG400" s="64"/>
      <c r="GH400" s="64"/>
      <c r="GI400" s="64"/>
      <c r="GJ400" s="64"/>
      <c r="GK400" s="64"/>
      <c r="GL400" s="64"/>
      <c r="GM400" s="64"/>
      <c r="GN400" s="64"/>
      <c r="GO400" s="64"/>
      <c r="GP400" s="64"/>
      <c r="GQ400" s="64"/>
      <c r="GR400" s="64"/>
      <c r="GS400" s="64"/>
      <c r="GT400" s="64"/>
      <c r="GU400" s="64"/>
      <c r="GV400" s="64"/>
      <c r="GW400" s="64"/>
      <c r="GX400" s="64"/>
      <c r="GY400" s="64"/>
      <c r="GZ400" s="64"/>
      <c r="HA400" s="64"/>
      <c r="HB400" s="64"/>
      <c r="HC400" s="64"/>
      <c r="HD400" s="64"/>
      <c r="HE400" s="64"/>
      <c r="HF400" s="64"/>
      <c r="HG400" s="64"/>
      <c r="HH400" s="64"/>
      <c r="HI400" s="64"/>
      <c r="HJ400" s="64"/>
      <c r="HK400" s="64"/>
      <c r="HL400" s="64"/>
      <c r="HM400" s="64"/>
      <c r="HN400" s="64"/>
      <c r="HO400" s="64"/>
      <c r="HP400" s="64"/>
      <c r="HQ400" s="64"/>
      <c r="HR400" s="64"/>
      <c r="HS400" s="64"/>
      <c r="HT400" s="64"/>
      <c r="HU400" s="64"/>
      <c r="HV400" s="64"/>
      <c r="HW400" s="64"/>
      <c r="HX400" s="64"/>
      <c r="HY400" s="64"/>
      <c r="HZ400" s="64"/>
      <c r="IA400" s="64"/>
      <c r="IB400" s="64"/>
      <c r="IC400" s="64"/>
      <c r="ID400" s="64"/>
      <c r="IE400" s="64"/>
      <c r="IF400" s="64"/>
      <c r="IG400" s="64"/>
      <c r="IH400" s="64"/>
      <c r="II400" s="64"/>
      <c r="IJ400" s="64"/>
      <c r="IK400" s="64"/>
      <c r="IL400" s="64"/>
      <c r="IM400" s="64"/>
      <c r="IN400" s="64"/>
      <c r="IO400" s="64"/>
      <c r="IP400" s="64"/>
      <c r="IQ400" s="64"/>
      <c r="IR400" s="64"/>
      <c r="IS400" s="64"/>
      <c r="IT400" s="64"/>
      <c r="IU400" s="64"/>
      <c r="IV400" s="64"/>
      <c r="IW400" s="64"/>
      <c r="IX400" s="64"/>
      <c r="IY400" s="64"/>
      <c r="IZ400" s="64"/>
      <c r="JA400" s="64"/>
      <c r="JB400" s="64"/>
      <c r="JC400" s="64"/>
      <c r="JD400" s="64"/>
      <c r="JE400" s="64"/>
      <c r="JF400" s="64"/>
      <c r="JG400" s="64"/>
      <c r="JH400" s="64"/>
      <c r="JI400" s="64"/>
    </row>
    <row r="401" spans="1:269" s="920" customFormat="1" x14ac:dyDescent="0.2">
      <c r="A401" s="116"/>
      <c r="B401" s="64"/>
      <c r="C401" s="64"/>
      <c r="D401" s="64"/>
      <c r="E401" s="64"/>
      <c r="F401" s="64"/>
      <c r="G401" s="64"/>
      <c r="H401" s="64"/>
      <c r="I401" s="64"/>
      <c r="J401" s="116"/>
      <c r="K401" s="116"/>
      <c r="L401" s="116"/>
      <c r="M401" s="116"/>
      <c r="N401" s="116"/>
      <c r="O401" s="116"/>
      <c r="P401" s="116"/>
      <c r="Q401" s="102"/>
      <c r="R401" s="102"/>
      <c r="S401" s="102"/>
      <c r="T401" s="102"/>
      <c r="U401" s="913"/>
      <c r="V401" s="114"/>
      <c r="W401" s="805"/>
      <c r="X401" s="805"/>
      <c r="Y401" s="805"/>
      <c r="Z401" s="914"/>
      <c r="AA401" s="102"/>
      <c r="AB401" s="102"/>
      <c r="AC401" s="102"/>
      <c r="AD401" s="102"/>
      <c r="AE401" s="102"/>
      <c r="AF401" s="102"/>
      <c r="AG401" s="102"/>
      <c r="AH401" s="102"/>
      <c r="AI401" s="102"/>
      <c r="AJ401" s="906"/>
      <c r="AK401" s="102"/>
      <c r="AL401" s="915"/>
      <c r="AM401" s="915"/>
      <c r="AN401" s="114"/>
      <c r="AO401" s="64"/>
      <c r="AP401" s="64"/>
      <c r="AQ401" s="64"/>
      <c r="AR401" s="916"/>
      <c r="AS401" s="916"/>
      <c r="AT401" s="916"/>
      <c r="AU401" s="917"/>
      <c r="AV401" s="917"/>
      <c r="AW401" s="917"/>
      <c r="AX401" s="918"/>
      <c r="AY401" s="916"/>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917"/>
      <c r="CA401" s="917"/>
      <c r="CB401" s="64"/>
      <c r="CC401" s="919"/>
      <c r="CD401" s="919"/>
      <c r="CE401" s="64"/>
      <c r="CF401" s="528"/>
      <c r="CG401" s="529"/>
      <c r="CH401" s="64"/>
      <c r="CI401" s="64"/>
      <c r="CJ401" s="64"/>
      <c r="CK401" s="64"/>
      <c r="CL401" s="64"/>
      <c r="CM401" s="64"/>
      <c r="CN401" s="64"/>
      <c r="CO401" s="64"/>
      <c r="CP401" s="64"/>
      <c r="CQ401" s="64"/>
      <c r="CR401" s="64"/>
      <c r="CS401" s="64"/>
      <c r="CT401" s="64"/>
      <c r="CU401" s="64"/>
      <c r="CV401" s="64"/>
      <c r="CW401" s="64"/>
      <c r="CX401" s="64"/>
      <c r="CY401" s="1011"/>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c r="FC401" s="64"/>
      <c r="FD401" s="64"/>
      <c r="FE401" s="64"/>
      <c r="FF401" s="64"/>
      <c r="FG401" s="64"/>
      <c r="FH401" s="64"/>
      <c r="FI401" s="64"/>
      <c r="FJ401" s="64"/>
      <c r="FK401" s="64"/>
      <c r="FL401" s="64"/>
      <c r="FM401" s="64"/>
      <c r="FN401" s="64"/>
      <c r="FO401" s="64"/>
      <c r="FP401" s="64"/>
      <c r="FQ401" s="64"/>
      <c r="FR401" s="64"/>
      <c r="FS401" s="64"/>
      <c r="FT401" s="64"/>
      <c r="FU401" s="64"/>
      <c r="FV401" s="64"/>
      <c r="FW401" s="64"/>
      <c r="FX401" s="64"/>
      <c r="FY401" s="64"/>
      <c r="FZ401" s="64"/>
      <c r="GA401" s="64"/>
      <c r="GB401" s="64"/>
      <c r="GC401" s="64"/>
      <c r="GD401" s="64"/>
      <c r="GE401" s="64"/>
      <c r="GF401" s="64"/>
      <c r="GG401" s="64"/>
      <c r="GH401" s="64"/>
      <c r="GI401" s="64"/>
      <c r="GJ401" s="64"/>
      <c r="GK401" s="64"/>
      <c r="GL401" s="64"/>
      <c r="GM401" s="64"/>
      <c r="GN401" s="64"/>
      <c r="GO401" s="64"/>
      <c r="GP401" s="64"/>
      <c r="GQ401" s="64"/>
      <c r="GR401" s="64"/>
      <c r="GS401" s="64"/>
      <c r="GT401" s="64"/>
      <c r="GU401" s="64"/>
      <c r="GV401" s="64"/>
      <c r="GW401" s="64"/>
      <c r="GX401" s="64"/>
      <c r="GY401" s="64"/>
      <c r="GZ401" s="64"/>
      <c r="HA401" s="64"/>
      <c r="HB401" s="64"/>
      <c r="HC401" s="64"/>
      <c r="HD401" s="64"/>
      <c r="HE401" s="64"/>
      <c r="HF401" s="64"/>
      <c r="HG401" s="64"/>
      <c r="HH401" s="64"/>
      <c r="HI401" s="64"/>
      <c r="HJ401" s="64"/>
      <c r="HK401" s="64"/>
      <c r="HL401" s="64"/>
      <c r="HM401" s="64"/>
      <c r="HN401" s="64"/>
      <c r="HO401" s="64"/>
      <c r="HP401" s="64"/>
      <c r="HQ401" s="64"/>
      <c r="HR401" s="64"/>
      <c r="HS401" s="64"/>
      <c r="HT401" s="64"/>
      <c r="HU401" s="64"/>
      <c r="HV401" s="64"/>
      <c r="HW401" s="64"/>
      <c r="HX401" s="64"/>
      <c r="HY401" s="64"/>
      <c r="HZ401" s="64"/>
      <c r="IA401" s="64"/>
      <c r="IB401" s="64"/>
      <c r="IC401" s="64"/>
      <c r="ID401" s="64"/>
      <c r="IE401" s="64"/>
      <c r="IF401" s="64"/>
      <c r="IG401" s="64"/>
      <c r="IH401" s="64"/>
      <c r="II401" s="64"/>
      <c r="IJ401" s="64"/>
      <c r="IK401" s="64"/>
      <c r="IL401" s="64"/>
      <c r="IM401" s="64"/>
      <c r="IN401" s="64"/>
      <c r="IO401" s="64"/>
      <c r="IP401" s="64"/>
      <c r="IQ401" s="64"/>
      <c r="IR401" s="64"/>
      <c r="IS401" s="64"/>
      <c r="IT401" s="64"/>
      <c r="IU401" s="64"/>
      <c r="IV401" s="64"/>
      <c r="IW401" s="64"/>
      <c r="IX401" s="64"/>
      <c r="IY401" s="64"/>
      <c r="IZ401" s="64"/>
      <c r="JA401" s="64"/>
      <c r="JB401" s="64"/>
      <c r="JC401" s="64"/>
      <c r="JD401" s="64"/>
      <c r="JE401" s="64"/>
      <c r="JF401" s="64"/>
      <c r="JG401" s="64"/>
      <c r="JH401" s="64"/>
      <c r="JI401" s="64"/>
    </row>
    <row r="402" spans="1:269" s="920" customFormat="1" x14ac:dyDescent="0.2">
      <c r="A402" s="116"/>
      <c r="B402" s="64"/>
      <c r="C402" s="64"/>
      <c r="D402" s="64"/>
      <c r="E402" s="64"/>
      <c r="F402" s="64"/>
      <c r="G402" s="64"/>
      <c r="H402" s="64"/>
      <c r="I402" s="64"/>
      <c r="J402" s="116"/>
      <c r="K402" s="116"/>
      <c r="L402" s="116"/>
      <c r="M402" s="116"/>
      <c r="N402" s="116"/>
      <c r="O402" s="116"/>
      <c r="P402" s="116"/>
      <c r="Q402" s="102"/>
      <c r="R402" s="102"/>
      <c r="S402" s="102"/>
      <c r="T402" s="102"/>
      <c r="U402" s="913"/>
      <c r="V402" s="114"/>
      <c r="W402" s="805"/>
      <c r="X402" s="805"/>
      <c r="Y402" s="805"/>
      <c r="Z402" s="914"/>
      <c r="AA402" s="102"/>
      <c r="AB402" s="102"/>
      <c r="AC402" s="102"/>
      <c r="AD402" s="102"/>
      <c r="AE402" s="102"/>
      <c r="AF402" s="102"/>
      <c r="AG402" s="102"/>
      <c r="AH402" s="102"/>
      <c r="AI402" s="102"/>
      <c r="AJ402" s="906"/>
      <c r="AK402" s="102"/>
      <c r="AL402" s="915"/>
      <c r="AM402" s="915"/>
      <c r="AN402" s="114"/>
      <c r="AO402" s="64"/>
      <c r="AP402" s="64"/>
      <c r="AQ402" s="64"/>
      <c r="AR402" s="916"/>
      <c r="AS402" s="916"/>
      <c r="AT402" s="916"/>
      <c r="AU402" s="917"/>
      <c r="AV402" s="917"/>
      <c r="AW402" s="917"/>
      <c r="AX402" s="918"/>
      <c r="AY402" s="916"/>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917"/>
      <c r="CA402" s="917"/>
      <c r="CB402" s="64"/>
      <c r="CC402" s="919"/>
      <c r="CD402" s="919"/>
      <c r="CE402" s="64"/>
      <c r="CF402" s="528"/>
      <c r="CG402" s="529"/>
      <c r="CH402" s="64"/>
      <c r="CI402" s="64"/>
      <c r="CJ402" s="64"/>
      <c r="CK402" s="64"/>
      <c r="CL402" s="64"/>
      <c r="CM402" s="64"/>
      <c r="CN402" s="64"/>
      <c r="CO402" s="64"/>
      <c r="CP402" s="64"/>
      <c r="CQ402" s="64"/>
      <c r="CR402" s="64"/>
      <c r="CS402" s="64"/>
      <c r="CT402" s="64"/>
      <c r="CU402" s="64"/>
      <c r="CV402" s="64"/>
      <c r="CW402" s="64"/>
      <c r="CX402" s="64"/>
      <c r="CY402" s="1011"/>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c r="FC402" s="64"/>
      <c r="FD402" s="64"/>
      <c r="FE402" s="64"/>
      <c r="FF402" s="64"/>
      <c r="FG402" s="64"/>
      <c r="FH402" s="64"/>
      <c r="FI402" s="64"/>
      <c r="FJ402" s="64"/>
      <c r="FK402" s="64"/>
      <c r="FL402" s="64"/>
      <c r="FM402" s="64"/>
      <c r="FN402" s="64"/>
      <c r="FO402" s="64"/>
      <c r="FP402" s="64"/>
      <c r="FQ402" s="64"/>
      <c r="FR402" s="64"/>
      <c r="FS402" s="64"/>
      <c r="FT402" s="64"/>
      <c r="FU402" s="64"/>
      <c r="FV402" s="64"/>
      <c r="FW402" s="64"/>
      <c r="FX402" s="64"/>
      <c r="FY402" s="64"/>
      <c r="FZ402" s="64"/>
      <c r="GA402" s="64"/>
      <c r="GB402" s="64"/>
      <c r="GC402" s="64"/>
      <c r="GD402" s="64"/>
      <c r="GE402" s="64"/>
      <c r="GF402" s="64"/>
      <c r="GG402" s="64"/>
      <c r="GH402" s="64"/>
      <c r="GI402" s="64"/>
      <c r="GJ402" s="64"/>
      <c r="GK402" s="64"/>
      <c r="GL402" s="64"/>
      <c r="GM402" s="64"/>
      <c r="GN402" s="64"/>
      <c r="GO402" s="64"/>
      <c r="GP402" s="64"/>
      <c r="GQ402" s="64"/>
      <c r="GR402" s="64"/>
      <c r="GS402" s="64"/>
      <c r="GT402" s="64"/>
      <c r="GU402" s="64"/>
      <c r="GV402" s="64"/>
      <c r="GW402" s="64"/>
      <c r="GX402" s="64"/>
      <c r="GY402" s="64"/>
      <c r="GZ402" s="64"/>
      <c r="HA402" s="64"/>
      <c r="HB402" s="64"/>
      <c r="HC402" s="64"/>
      <c r="HD402" s="64"/>
      <c r="HE402" s="64"/>
      <c r="HF402" s="64"/>
      <c r="HG402" s="64"/>
      <c r="HH402" s="64"/>
      <c r="HI402" s="64"/>
      <c r="HJ402" s="64"/>
      <c r="HK402" s="64"/>
      <c r="HL402" s="64"/>
      <c r="HM402" s="64"/>
      <c r="HN402" s="64"/>
      <c r="HO402" s="64"/>
      <c r="HP402" s="64"/>
      <c r="HQ402" s="64"/>
      <c r="HR402" s="64"/>
      <c r="HS402" s="64"/>
      <c r="HT402" s="64"/>
      <c r="HU402" s="64"/>
      <c r="HV402" s="64"/>
      <c r="HW402" s="64"/>
      <c r="HX402" s="64"/>
      <c r="HY402" s="64"/>
      <c r="HZ402" s="64"/>
      <c r="IA402" s="64"/>
      <c r="IB402" s="64"/>
      <c r="IC402" s="64"/>
      <c r="ID402" s="64"/>
      <c r="IE402" s="64"/>
      <c r="IF402" s="64"/>
      <c r="IG402" s="64"/>
      <c r="IH402" s="64"/>
      <c r="II402" s="64"/>
      <c r="IJ402" s="64"/>
      <c r="IK402" s="64"/>
      <c r="IL402" s="64"/>
      <c r="IM402" s="64"/>
      <c r="IN402" s="64"/>
      <c r="IO402" s="64"/>
      <c r="IP402" s="64"/>
      <c r="IQ402" s="64"/>
      <c r="IR402" s="64"/>
      <c r="IS402" s="64"/>
      <c r="IT402" s="64"/>
      <c r="IU402" s="64"/>
      <c r="IV402" s="64"/>
      <c r="IW402" s="64"/>
      <c r="IX402" s="64"/>
      <c r="IY402" s="64"/>
      <c r="IZ402" s="64"/>
      <c r="JA402" s="64"/>
      <c r="JB402" s="64"/>
      <c r="JC402" s="64"/>
      <c r="JD402" s="64"/>
      <c r="JE402" s="64"/>
      <c r="JF402" s="64"/>
      <c r="JG402" s="64"/>
      <c r="JH402" s="64"/>
      <c r="JI402" s="64"/>
    </row>
    <row r="403" spans="1:269" s="920" customFormat="1" x14ac:dyDescent="0.2">
      <c r="A403" s="116"/>
      <c r="B403" s="64"/>
      <c r="C403" s="64"/>
      <c r="D403" s="64"/>
      <c r="E403" s="64"/>
      <c r="F403" s="64"/>
      <c r="G403" s="64"/>
      <c r="H403" s="64"/>
      <c r="I403" s="64"/>
      <c r="J403" s="116"/>
      <c r="K403" s="116"/>
      <c r="L403" s="116"/>
      <c r="M403" s="116"/>
      <c r="N403" s="116"/>
      <c r="O403" s="116"/>
      <c r="P403" s="116"/>
      <c r="Q403" s="102"/>
      <c r="R403" s="102"/>
      <c r="S403" s="102"/>
      <c r="T403" s="102"/>
      <c r="U403" s="913"/>
      <c r="V403" s="114"/>
      <c r="W403" s="805"/>
      <c r="X403" s="805"/>
      <c r="Y403" s="805"/>
      <c r="Z403" s="914"/>
      <c r="AA403" s="102"/>
      <c r="AB403" s="102"/>
      <c r="AC403" s="102"/>
      <c r="AD403" s="102"/>
      <c r="AE403" s="102"/>
      <c r="AF403" s="102"/>
      <c r="AG403" s="102"/>
      <c r="AH403" s="102"/>
      <c r="AI403" s="102"/>
      <c r="AJ403" s="906"/>
      <c r="AK403" s="102"/>
      <c r="AL403" s="915"/>
      <c r="AM403" s="915"/>
      <c r="AN403" s="114"/>
      <c r="AO403" s="64"/>
      <c r="AP403" s="64"/>
      <c r="AQ403" s="64"/>
      <c r="AR403" s="916"/>
      <c r="AS403" s="916"/>
      <c r="AT403" s="916"/>
      <c r="AU403" s="917"/>
      <c r="AV403" s="917"/>
      <c r="AW403" s="917"/>
      <c r="AX403" s="918"/>
      <c r="AY403" s="916"/>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917"/>
      <c r="CA403" s="917"/>
      <c r="CB403" s="64"/>
      <c r="CC403" s="919"/>
      <c r="CD403" s="919"/>
      <c r="CE403" s="64"/>
      <c r="CF403" s="528"/>
      <c r="CG403" s="529"/>
      <c r="CH403" s="64"/>
      <c r="CI403" s="64"/>
      <c r="CJ403" s="64"/>
      <c r="CK403" s="64"/>
      <c r="CL403" s="64"/>
      <c r="CM403" s="64"/>
      <c r="CN403" s="64"/>
      <c r="CO403" s="64"/>
      <c r="CP403" s="64"/>
      <c r="CQ403" s="64"/>
      <c r="CR403" s="64"/>
      <c r="CS403" s="64"/>
      <c r="CT403" s="64"/>
      <c r="CU403" s="64"/>
      <c r="CV403" s="64"/>
      <c r="CW403" s="64"/>
      <c r="CX403" s="64"/>
      <c r="CY403" s="1011"/>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c r="FC403" s="64"/>
      <c r="FD403" s="64"/>
      <c r="FE403" s="64"/>
      <c r="FF403" s="64"/>
      <c r="FG403" s="64"/>
      <c r="FH403" s="64"/>
      <c r="FI403" s="64"/>
      <c r="FJ403" s="64"/>
      <c r="FK403" s="64"/>
      <c r="FL403" s="64"/>
      <c r="FM403" s="64"/>
      <c r="FN403" s="64"/>
      <c r="FO403" s="64"/>
      <c r="FP403" s="64"/>
      <c r="FQ403" s="64"/>
      <c r="FR403" s="64"/>
      <c r="FS403" s="64"/>
      <c r="FT403" s="64"/>
      <c r="FU403" s="64"/>
      <c r="FV403" s="64"/>
      <c r="FW403" s="64"/>
      <c r="FX403" s="64"/>
      <c r="FY403" s="64"/>
      <c r="FZ403" s="64"/>
      <c r="GA403" s="64"/>
      <c r="GB403" s="64"/>
      <c r="GC403" s="64"/>
      <c r="GD403" s="64"/>
      <c r="GE403" s="64"/>
      <c r="GF403" s="64"/>
      <c r="GG403" s="64"/>
      <c r="GH403" s="64"/>
      <c r="GI403" s="64"/>
      <c r="GJ403" s="64"/>
      <c r="GK403" s="64"/>
      <c r="GL403" s="64"/>
      <c r="GM403" s="64"/>
      <c r="GN403" s="64"/>
      <c r="GO403" s="64"/>
      <c r="GP403" s="64"/>
      <c r="GQ403" s="64"/>
      <c r="GR403" s="64"/>
      <c r="GS403" s="64"/>
      <c r="GT403" s="64"/>
      <c r="GU403" s="64"/>
      <c r="GV403" s="64"/>
      <c r="GW403" s="64"/>
      <c r="GX403" s="64"/>
      <c r="GY403" s="64"/>
      <c r="GZ403" s="64"/>
      <c r="HA403" s="64"/>
      <c r="HB403" s="64"/>
      <c r="HC403" s="64"/>
      <c r="HD403" s="64"/>
      <c r="HE403" s="64"/>
      <c r="HF403" s="64"/>
      <c r="HG403" s="64"/>
      <c r="HH403" s="64"/>
      <c r="HI403" s="64"/>
      <c r="HJ403" s="64"/>
      <c r="HK403" s="64"/>
      <c r="HL403" s="64"/>
      <c r="HM403" s="64"/>
      <c r="HN403" s="64"/>
      <c r="HO403" s="64"/>
      <c r="HP403" s="64"/>
      <c r="HQ403" s="64"/>
      <c r="HR403" s="64"/>
      <c r="HS403" s="64"/>
      <c r="HT403" s="64"/>
      <c r="HU403" s="64"/>
      <c r="HV403" s="64"/>
      <c r="HW403" s="64"/>
      <c r="HX403" s="64"/>
      <c r="HY403" s="64"/>
      <c r="HZ403" s="64"/>
      <c r="IA403" s="64"/>
      <c r="IB403" s="64"/>
      <c r="IC403" s="64"/>
      <c r="ID403" s="64"/>
      <c r="IE403" s="64"/>
      <c r="IF403" s="64"/>
      <c r="IG403" s="64"/>
      <c r="IH403" s="64"/>
      <c r="II403" s="64"/>
      <c r="IJ403" s="64"/>
      <c r="IK403" s="64"/>
      <c r="IL403" s="64"/>
      <c r="IM403" s="64"/>
      <c r="IN403" s="64"/>
      <c r="IO403" s="64"/>
      <c r="IP403" s="64"/>
      <c r="IQ403" s="64"/>
      <c r="IR403" s="64"/>
      <c r="IS403" s="64"/>
      <c r="IT403" s="64"/>
      <c r="IU403" s="64"/>
      <c r="IV403" s="64"/>
      <c r="IW403" s="64"/>
      <c r="IX403" s="64"/>
      <c r="IY403" s="64"/>
      <c r="IZ403" s="64"/>
      <c r="JA403" s="64"/>
      <c r="JB403" s="64"/>
      <c r="JC403" s="64"/>
      <c r="JD403" s="64"/>
      <c r="JE403" s="64"/>
      <c r="JF403" s="64"/>
      <c r="JG403" s="64"/>
      <c r="JH403" s="64"/>
      <c r="JI403" s="64"/>
    </row>
    <row r="404" spans="1:269" s="920" customFormat="1" x14ac:dyDescent="0.2">
      <c r="A404" s="116"/>
      <c r="B404" s="64"/>
      <c r="C404" s="64"/>
      <c r="D404" s="64"/>
      <c r="E404" s="64"/>
      <c r="F404" s="64"/>
      <c r="G404" s="64"/>
      <c r="H404" s="64"/>
      <c r="I404" s="64"/>
      <c r="J404" s="116"/>
      <c r="K404" s="116"/>
      <c r="L404" s="116"/>
      <c r="M404" s="116"/>
      <c r="N404" s="116"/>
      <c r="O404" s="116"/>
      <c r="P404" s="116"/>
      <c r="Q404" s="102"/>
      <c r="R404" s="102"/>
      <c r="S404" s="102"/>
      <c r="T404" s="102"/>
      <c r="U404" s="913"/>
      <c r="V404" s="114"/>
      <c r="W404" s="805"/>
      <c r="X404" s="805"/>
      <c r="Y404" s="805"/>
      <c r="Z404" s="914"/>
      <c r="AA404" s="102"/>
      <c r="AB404" s="102"/>
      <c r="AC404" s="102"/>
      <c r="AD404" s="102"/>
      <c r="AE404" s="102"/>
      <c r="AF404" s="102"/>
      <c r="AG404" s="102"/>
      <c r="AH404" s="102"/>
      <c r="AI404" s="102"/>
      <c r="AJ404" s="906"/>
      <c r="AK404" s="102"/>
      <c r="AL404" s="915"/>
      <c r="AM404" s="915"/>
      <c r="AN404" s="114"/>
      <c r="AO404" s="64"/>
      <c r="AP404" s="64"/>
      <c r="AQ404" s="64"/>
      <c r="AR404" s="916"/>
      <c r="AS404" s="916"/>
      <c r="AT404" s="916"/>
      <c r="AU404" s="917"/>
      <c r="AV404" s="917"/>
      <c r="AW404" s="917"/>
      <c r="AX404" s="918"/>
      <c r="AY404" s="916"/>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917"/>
      <c r="CA404" s="917"/>
      <c r="CB404" s="64"/>
      <c r="CC404" s="919"/>
      <c r="CD404" s="919"/>
      <c r="CE404" s="64"/>
      <c r="CF404" s="528"/>
      <c r="CG404" s="529"/>
      <c r="CH404" s="64"/>
      <c r="CI404" s="64"/>
      <c r="CJ404" s="64"/>
      <c r="CK404" s="64"/>
      <c r="CL404" s="64"/>
      <c r="CM404" s="64"/>
      <c r="CN404" s="64"/>
      <c r="CO404" s="64"/>
      <c r="CP404" s="64"/>
      <c r="CQ404" s="64"/>
      <c r="CR404" s="64"/>
      <c r="CS404" s="64"/>
      <c r="CT404" s="64"/>
      <c r="CU404" s="64"/>
      <c r="CV404" s="64"/>
      <c r="CW404" s="64"/>
      <c r="CX404" s="64"/>
      <c r="CY404" s="1011"/>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c r="FC404" s="64"/>
      <c r="FD404" s="64"/>
      <c r="FE404" s="64"/>
      <c r="FF404" s="64"/>
      <c r="FG404" s="64"/>
      <c r="FH404" s="64"/>
      <c r="FI404" s="64"/>
      <c r="FJ404" s="64"/>
      <c r="FK404" s="64"/>
      <c r="FL404" s="64"/>
      <c r="FM404" s="64"/>
      <c r="FN404" s="64"/>
      <c r="FO404" s="64"/>
      <c r="FP404" s="64"/>
      <c r="FQ404" s="64"/>
      <c r="FR404" s="64"/>
      <c r="FS404" s="64"/>
      <c r="FT404" s="64"/>
      <c r="FU404" s="64"/>
      <c r="FV404" s="64"/>
      <c r="FW404" s="64"/>
      <c r="FX404" s="64"/>
      <c r="FY404" s="64"/>
      <c r="FZ404" s="64"/>
      <c r="GA404" s="64"/>
      <c r="GB404" s="64"/>
      <c r="GC404" s="64"/>
      <c r="GD404" s="64"/>
      <c r="GE404" s="64"/>
      <c r="GF404" s="64"/>
      <c r="GG404" s="64"/>
      <c r="GH404" s="64"/>
      <c r="GI404" s="64"/>
      <c r="GJ404" s="64"/>
      <c r="GK404" s="64"/>
      <c r="GL404" s="64"/>
      <c r="GM404" s="64"/>
      <c r="GN404" s="64"/>
      <c r="GO404" s="64"/>
      <c r="GP404" s="64"/>
      <c r="GQ404" s="64"/>
      <c r="GR404" s="64"/>
      <c r="GS404" s="64"/>
      <c r="GT404" s="64"/>
      <c r="GU404" s="64"/>
      <c r="GV404" s="64"/>
      <c r="GW404" s="64"/>
      <c r="GX404" s="64"/>
      <c r="GY404" s="64"/>
      <c r="GZ404" s="64"/>
      <c r="HA404" s="64"/>
      <c r="HB404" s="64"/>
      <c r="HC404" s="64"/>
      <c r="HD404" s="64"/>
      <c r="HE404" s="64"/>
      <c r="HF404" s="64"/>
      <c r="HG404" s="64"/>
      <c r="HH404" s="64"/>
      <c r="HI404" s="64"/>
      <c r="HJ404" s="64"/>
      <c r="HK404" s="64"/>
      <c r="HL404" s="64"/>
      <c r="HM404" s="64"/>
      <c r="HN404" s="64"/>
      <c r="HO404" s="64"/>
      <c r="HP404" s="64"/>
      <c r="HQ404" s="64"/>
      <c r="HR404" s="64"/>
      <c r="HS404" s="64"/>
      <c r="HT404" s="64"/>
      <c r="HU404" s="64"/>
      <c r="HV404" s="64"/>
      <c r="HW404" s="64"/>
      <c r="HX404" s="64"/>
      <c r="HY404" s="64"/>
      <c r="HZ404" s="64"/>
      <c r="IA404" s="64"/>
      <c r="IB404" s="64"/>
      <c r="IC404" s="64"/>
      <c r="ID404" s="64"/>
      <c r="IE404" s="64"/>
      <c r="IF404" s="64"/>
      <c r="IG404" s="64"/>
      <c r="IH404" s="64"/>
      <c r="II404" s="64"/>
      <c r="IJ404" s="64"/>
      <c r="IK404" s="64"/>
      <c r="IL404" s="64"/>
      <c r="IM404" s="64"/>
      <c r="IN404" s="64"/>
      <c r="IO404" s="64"/>
      <c r="IP404" s="64"/>
      <c r="IQ404" s="64"/>
      <c r="IR404" s="64"/>
      <c r="IS404" s="64"/>
      <c r="IT404" s="64"/>
      <c r="IU404" s="64"/>
      <c r="IV404" s="64"/>
      <c r="IW404" s="64"/>
      <c r="IX404" s="64"/>
      <c r="IY404" s="64"/>
      <c r="IZ404" s="64"/>
      <c r="JA404" s="64"/>
      <c r="JB404" s="64"/>
      <c r="JC404" s="64"/>
      <c r="JD404" s="64"/>
      <c r="JE404" s="64"/>
      <c r="JF404" s="64"/>
      <c r="JG404" s="64"/>
      <c r="JH404" s="64"/>
      <c r="JI404" s="64"/>
    </row>
    <row r="405" spans="1:269" s="920" customFormat="1" x14ac:dyDescent="0.2">
      <c r="A405" s="116"/>
      <c r="B405" s="64"/>
      <c r="C405" s="64"/>
      <c r="D405" s="64"/>
      <c r="E405" s="64"/>
      <c r="F405" s="64"/>
      <c r="G405" s="64"/>
      <c r="H405" s="64"/>
      <c r="I405" s="64"/>
      <c r="J405" s="116"/>
      <c r="K405" s="116"/>
      <c r="L405" s="116"/>
      <c r="M405" s="116"/>
      <c r="N405" s="116"/>
      <c r="O405" s="116"/>
      <c r="P405" s="116"/>
      <c r="Q405" s="102"/>
      <c r="R405" s="102"/>
      <c r="S405" s="102"/>
      <c r="T405" s="102"/>
      <c r="U405" s="913"/>
      <c r="V405" s="114"/>
      <c r="W405" s="805"/>
      <c r="X405" s="805"/>
      <c r="Y405" s="805"/>
      <c r="Z405" s="914"/>
      <c r="AA405" s="102"/>
      <c r="AB405" s="102"/>
      <c r="AC405" s="102"/>
      <c r="AD405" s="102"/>
      <c r="AE405" s="102"/>
      <c r="AF405" s="102"/>
      <c r="AG405" s="102"/>
      <c r="AH405" s="102"/>
      <c r="AI405" s="102"/>
      <c r="AJ405" s="906"/>
      <c r="AK405" s="102"/>
      <c r="AL405" s="915"/>
      <c r="AM405" s="915"/>
      <c r="AN405" s="114"/>
      <c r="AO405" s="64"/>
      <c r="AP405" s="64"/>
      <c r="AQ405" s="64"/>
      <c r="AR405" s="916"/>
      <c r="AS405" s="916"/>
      <c r="AT405" s="916"/>
      <c r="AU405" s="917"/>
      <c r="AV405" s="917"/>
      <c r="AW405" s="917"/>
      <c r="AX405" s="918"/>
      <c r="AY405" s="916"/>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917"/>
      <c r="CA405" s="917"/>
      <c r="CB405" s="64"/>
      <c r="CC405" s="919"/>
      <c r="CD405" s="919"/>
      <c r="CE405" s="64"/>
      <c r="CF405" s="528"/>
      <c r="CG405" s="529"/>
      <c r="CH405" s="64"/>
      <c r="CI405" s="64"/>
      <c r="CJ405" s="64"/>
      <c r="CK405" s="64"/>
      <c r="CL405" s="64"/>
      <c r="CM405" s="64"/>
      <c r="CN405" s="64"/>
      <c r="CO405" s="64"/>
      <c r="CP405" s="64"/>
      <c r="CQ405" s="64"/>
      <c r="CR405" s="64"/>
      <c r="CS405" s="64"/>
      <c r="CT405" s="64"/>
      <c r="CU405" s="64"/>
      <c r="CV405" s="64"/>
      <c r="CW405" s="64"/>
      <c r="CX405" s="64"/>
      <c r="CY405" s="1011"/>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c r="FC405" s="64"/>
      <c r="FD405" s="64"/>
      <c r="FE405" s="64"/>
      <c r="FF405" s="64"/>
      <c r="FG405" s="64"/>
      <c r="FH405" s="64"/>
      <c r="FI405" s="64"/>
      <c r="FJ405" s="64"/>
      <c r="FK405" s="64"/>
      <c r="FL405" s="64"/>
      <c r="FM405" s="64"/>
      <c r="FN405" s="64"/>
      <c r="FO405" s="64"/>
      <c r="FP405" s="64"/>
      <c r="FQ405" s="64"/>
      <c r="FR405" s="64"/>
      <c r="FS405" s="64"/>
      <c r="FT405" s="64"/>
      <c r="FU405" s="64"/>
      <c r="FV405" s="64"/>
      <c r="FW405" s="64"/>
      <c r="FX405" s="64"/>
      <c r="FY405" s="64"/>
      <c r="FZ405" s="64"/>
      <c r="GA405" s="64"/>
      <c r="GB405" s="64"/>
      <c r="GC405" s="64"/>
      <c r="GD405" s="64"/>
      <c r="GE405" s="64"/>
      <c r="GF405" s="64"/>
      <c r="GG405" s="64"/>
      <c r="GH405" s="64"/>
      <c r="GI405" s="64"/>
      <c r="GJ405" s="64"/>
      <c r="GK405" s="64"/>
      <c r="GL405" s="64"/>
      <c r="GM405" s="64"/>
      <c r="GN405" s="64"/>
      <c r="GO405" s="64"/>
      <c r="GP405" s="64"/>
      <c r="GQ405" s="64"/>
      <c r="GR405" s="64"/>
      <c r="GS405" s="64"/>
      <c r="GT405" s="64"/>
      <c r="GU405" s="64"/>
      <c r="GV405" s="64"/>
      <c r="GW405" s="64"/>
      <c r="GX405" s="64"/>
      <c r="GY405" s="64"/>
      <c r="GZ405" s="64"/>
      <c r="HA405" s="64"/>
      <c r="HB405" s="64"/>
      <c r="HC405" s="64"/>
      <c r="HD405" s="64"/>
      <c r="HE405" s="64"/>
      <c r="HF405" s="64"/>
      <c r="HG405" s="64"/>
      <c r="HH405" s="64"/>
      <c r="HI405" s="64"/>
      <c r="HJ405" s="64"/>
      <c r="HK405" s="64"/>
      <c r="HL405" s="64"/>
      <c r="HM405" s="64"/>
      <c r="HN405" s="64"/>
      <c r="HO405" s="64"/>
      <c r="HP405" s="64"/>
      <c r="HQ405" s="64"/>
      <c r="HR405" s="64"/>
      <c r="HS405" s="64"/>
      <c r="HT405" s="64"/>
      <c r="HU405" s="64"/>
      <c r="HV405" s="64"/>
      <c r="HW405" s="64"/>
      <c r="HX405" s="64"/>
      <c r="HY405" s="64"/>
      <c r="HZ405" s="64"/>
      <c r="IA405" s="64"/>
      <c r="IB405" s="64"/>
      <c r="IC405" s="64"/>
      <c r="ID405" s="64"/>
      <c r="IE405" s="64"/>
      <c r="IF405" s="64"/>
      <c r="IG405" s="64"/>
      <c r="IH405" s="64"/>
      <c r="II405" s="64"/>
      <c r="IJ405" s="64"/>
      <c r="IK405" s="64"/>
      <c r="IL405" s="64"/>
      <c r="IM405" s="64"/>
      <c r="IN405" s="64"/>
      <c r="IO405" s="64"/>
      <c r="IP405" s="64"/>
      <c r="IQ405" s="64"/>
      <c r="IR405" s="64"/>
      <c r="IS405" s="64"/>
      <c r="IT405" s="64"/>
      <c r="IU405" s="64"/>
      <c r="IV405" s="64"/>
      <c r="IW405" s="64"/>
      <c r="IX405" s="64"/>
      <c r="IY405" s="64"/>
      <c r="IZ405" s="64"/>
      <c r="JA405" s="64"/>
      <c r="JB405" s="64"/>
      <c r="JC405" s="64"/>
      <c r="JD405" s="64"/>
      <c r="JE405" s="64"/>
      <c r="JF405" s="64"/>
      <c r="JG405" s="64"/>
      <c r="JH405" s="64"/>
      <c r="JI405" s="64"/>
    </row>
    <row r="406" spans="1:269" s="920" customFormat="1" x14ac:dyDescent="0.2">
      <c r="A406" s="116"/>
      <c r="B406" s="64"/>
      <c r="C406" s="64"/>
      <c r="D406" s="64"/>
      <c r="E406" s="64"/>
      <c r="F406" s="64"/>
      <c r="G406" s="64"/>
      <c r="H406" s="64"/>
      <c r="I406" s="64"/>
      <c r="J406" s="116"/>
      <c r="K406" s="116"/>
      <c r="L406" s="116"/>
      <c r="M406" s="116"/>
      <c r="N406" s="116"/>
      <c r="O406" s="116"/>
      <c r="P406" s="116"/>
      <c r="Q406" s="102"/>
      <c r="R406" s="102"/>
      <c r="S406" s="102"/>
      <c r="T406" s="102"/>
      <c r="U406" s="913"/>
      <c r="V406" s="114"/>
      <c r="W406" s="805"/>
      <c r="X406" s="805"/>
      <c r="Y406" s="805"/>
      <c r="Z406" s="914"/>
      <c r="AA406" s="102"/>
      <c r="AB406" s="102"/>
      <c r="AC406" s="102"/>
      <c r="AD406" s="102"/>
      <c r="AE406" s="102"/>
      <c r="AF406" s="102"/>
      <c r="AG406" s="102"/>
      <c r="AH406" s="102"/>
      <c r="AI406" s="102"/>
      <c r="AJ406" s="906"/>
      <c r="AK406" s="102"/>
      <c r="AL406" s="915"/>
      <c r="AM406" s="915"/>
      <c r="AN406" s="114"/>
      <c r="AO406" s="64"/>
      <c r="AP406" s="64"/>
      <c r="AQ406" s="64"/>
      <c r="AR406" s="916"/>
      <c r="AS406" s="916"/>
      <c r="AT406" s="916"/>
      <c r="AU406" s="917"/>
      <c r="AV406" s="917"/>
      <c r="AW406" s="917"/>
      <c r="AX406" s="918"/>
      <c r="AY406" s="916"/>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917"/>
      <c r="CA406" s="917"/>
      <c r="CB406" s="64"/>
      <c r="CC406" s="919"/>
      <c r="CD406" s="919"/>
      <c r="CE406" s="64"/>
      <c r="CF406" s="528"/>
      <c r="CG406" s="529"/>
      <c r="CH406" s="64"/>
      <c r="CI406" s="64"/>
      <c r="CJ406" s="64"/>
      <c r="CK406" s="64"/>
      <c r="CL406" s="64"/>
      <c r="CM406" s="64"/>
      <c r="CN406" s="64"/>
      <c r="CO406" s="64"/>
      <c r="CP406" s="64"/>
      <c r="CQ406" s="64"/>
      <c r="CR406" s="64"/>
      <c r="CS406" s="64"/>
      <c r="CT406" s="64"/>
      <c r="CU406" s="64"/>
      <c r="CV406" s="64"/>
      <c r="CW406" s="64"/>
      <c r="CX406" s="64"/>
      <c r="CY406" s="1011"/>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c r="FC406" s="64"/>
      <c r="FD406" s="64"/>
      <c r="FE406" s="64"/>
      <c r="FF406" s="64"/>
      <c r="FG406" s="64"/>
      <c r="FH406" s="64"/>
      <c r="FI406" s="64"/>
      <c r="FJ406" s="64"/>
      <c r="FK406" s="64"/>
      <c r="FL406" s="64"/>
      <c r="FM406" s="64"/>
      <c r="FN406" s="64"/>
      <c r="FO406" s="64"/>
      <c r="FP406" s="64"/>
      <c r="FQ406" s="64"/>
      <c r="FR406" s="64"/>
      <c r="FS406" s="64"/>
      <c r="FT406" s="64"/>
      <c r="FU406" s="64"/>
      <c r="FV406" s="64"/>
      <c r="FW406" s="64"/>
      <c r="FX406" s="64"/>
      <c r="FY406" s="64"/>
      <c r="FZ406" s="64"/>
      <c r="GA406" s="64"/>
      <c r="GB406" s="64"/>
      <c r="GC406" s="64"/>
      <c r="GD406" s="64"/>
      <c r="GE406" s="64"/>
      <c r="GF406" s="64"/>
      <c r="GG406" s="64"/>
      <c r="GH406" s="64"/>
      <c r="GI406" s="64"/>
      <c r="GJ406" s="64"/>
      <c r="GK406" s="64"/>
      <c r="GL406" s="64"/>
      <c r="GM406" s="64"/>
      <c r="GN406" s="64"/>
      <c r="GO406" s="64"/>
      <c r="GP406" s="64"/>
      <c r="GQ406" s="64"/>
      <c r="GR406" s="64"/>
      <c r="GS406" s="64"/>
      <c r="GT406" s="64"/>
      <c r="GU406" s="64"/>
      <c r="GV406" s="64"/>
      <c r="GW406" s="64"/>
      <c r="GX406" s="64"/>
      <c r="GY406" s="64"/>
      <c r="GZ406" s="64"/>
      <c r="HA406" s="64"/>
      <c r="HB406" s="64"/>
      <c r="HC406" s="64"/>
      <c r="HD406" s="64"/>
      <c r="HE406" s="64"/>
      <c r="HF406" s="64"/>
      <c r="HG406" s="64"/>
      <c r="HH406" s="64"/>
      <c r="HI406" s="64"/>
      <c r="HJ406" s="64"/>
      <c r="HK406" s="64"/>
      <c r="HL406" s="64"/>
      <c r="HM406" s="64"/>
      <c r="HN406" s="64"/>
      <c r="HO406" s="64"/>
      <c r="HP406" s="64"/>
      <c r="HQ406" s="64"/>
      <c r="HR406" s="64"/>
      <c r="HS406" s="64"/>
      <c r="HT406" s="64"/>
      <c r="HU406" s="64"/>
      <c r="HV406" s="64"/>
      <c r="HW406" s="64"/>
      <c r="HX406" s="64"/>
      <c r="HY406" s="64"/>
      <c r="HZ406" s="64"/>
      <c r="IA406" s="64"/>
      <c r="IB406" s="64"/>
      <c r="IC406" s="64"/>
      <c r="ID406" s="64"/>
      <c r="IE406" s="64"/>
      <c r="IF406" s="64"/>
      <c r="IG406" s="64"/>
      <c r="IH406" s="64"/>
      <c r="II406" s="64"/>
      <c r="IJ406" s="64"/>
      <c r="IK406" s="64"/>
      <c r="IL406" s="64"/>
      <c r="IM406" s="64"/>
      <c r="IN406" s="64"/>
      <c r="IO406" s="64"/>
      <c r="IP406" s="64"/>
      <c r="IQ406" s="64"/>
      <c r="IR406" s="64"/>
      <c r="IS406" s="64"/>
      <c r="IT406" s="64"/>
      <c r="IU406" s="64"/>
      <c r="IV406" s="64"/>
      <c r="IW406" s="64"/>
      <c r="IX406" s="64"/>
      <c r="IY406" s="64"/>
      <c r="IZ406" s="64"/>
      <c r="JA406" s="64"/>
      <c r="JB406" s="64"/>
      <c r="JC406" s="64"/>
      <c r="JD406" s="64"/>
      <c r="JE406" s="64"/>
      <c r="JF406" s="64"/>
      <c r="JG406" s="64"/>
      <c r="JH406" s="64"/>
      <c r="JI406" s="64"/>
    </row>
    <row r="407" spans="1:269" s="920" customFormat="1" x14ac:dyDescent="0.2">
      <c r="A407" s="116"/>
      <c r="B407" s="64"/>
      <c r="C407" s="64"/>
      <c r="D407" s="64"/>
      <c r="E407" s="64"/>
      <c r="F407" s="64"/>
      <c r="G407" s="64"/>
      <c r="H407" s="64"/>
      <c r="I407" s="64"/>
      <c r="J407" s="116"/>
      <c r="K407" s="116"/>
      <c r="L407" s="116"/>
      <c r="M407" s="116"/>
      <c r="N407" s="116"/>
      <c r="O407" s="116"/>
      <c r="P407" s="116"/>
      <c r="Q407" s="102"/>
      <c r="R407" s="102"/>
      <c r="S407" s="102"/>
      <c r="T407" s="102"/>
      <c r="U407" s="913"/>
      <c r="V407" s="114"/>
      <c r="W407" s="805"/>
      <c r="X407" s="805"/>
      <c r="Y407" s="805"/>
      <c r="Z407" s="914"/>
      <c r="AA407" s="102"/>
      <c r="AB407" s="102"/>
      <c r="AC407" s="102"/>
      <c r="AD407" s="102"/>
      <c r="AE407" s="102"/>
      <c r="AF407" s="102"/>
      <c r="AG407" s="102"/>
      <c r="AH407" s="102"/>
      <c r="AI407" s="102"/>
      <c r="AJ407" s="906"/>
      <c r="AK407" s="102"/>
      <c r="AL407" s="915"/>
      <c r="AM407" s="915"/>
      <c r="AN407" s="114"/>
      <c r="AO407" s="64"/>
      <c r="AP407" s="64"/>
      <c r="AQ407" s="64"/>
      <c r="AR407" s="916"/>
      <c r="AS407" s="916"/>
      <c r="AT407" s="916"/>
      <c r="AU407" s="917"/>
      <c r="AV407" s="917"/>
      <c r="AW407" s="917"/>
      <c r="AX407" s="918"/>
      <c r="AY407" s="916"/>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917"/>
      <c r="CA407" s="917"/>
      <c r="CB407" s="64"/>
      <c r="CC407" s="919"/>
      <c r="CD407" s="919"/>
      <c r="CE407" s="64"/>
      <c r="CF407" s="528"/>
      <c r="CG407" s="529"/>
      <c r="CH407" s="64"/>
      <c r="CI407" s="64"/>
      <c r="CJ407" s="64"/>
      <c r="CK407" s="64"/>
      <c r="CL407" s="64"/>
      <c r="CM407" s="64"/>
      <c r="CN407" s="64"/>
      <c r="CO407" s="64"/>
      <c r="CP407" s="64"/>
      <c r="CQ407" s="64"/>
      <c r="CR407" s="64"/>
      <c r="CS407" s="64"/>
      <c r="CT407" s="64"/>
      <c r="CU407" s="64"/>
      <c r="CV407" s="64"/>
      <c r="CW407" s="64"/>
      <c r="CX407" s="64"/>
      <c r="CY407" s="1011"/>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4"/>
      <c r="FL407" s="64"/>
      <c r="FM407" s="64"/>
      <c r="FN407" s="64"/>
      <c r="FO407" s="64"/>
      <c r="FP407" s="64"/>
      <c r="FQ407" s="64"/>
      <c r="FR407" s="64"/>
      <c r="FS407" s="64"/>
      <c r="FT407" s="64"/>
      <c r="FU407" s="64"/>
      <c r="FV407" s="64"/>
      <c r="FW407" s="64"/>
      <c r="FX407" s="64"/>
      <c r="FY407" s="64"/>
      <c r="FZ407" s="64"/>
      <c r="GA407" s="64"/>
      <c r="GB407" s="64"/>
      <c r="GC407" s="64"/>
      <c r="GD407" s="64"/>
      <c r="GE407" s="64"/>
      <c r="GF407" s="64"/>
      <c r="GG407" s="64"/>
      <c r="GH407" s="64"/>
      <c r="GI407" s="64"/>
      <c r="GJ407" s="64"/>
      <c r="GK407" s="64"/>
      <c r="GL407" s="64"/>
      <c r="GM407" s="64"/>
      <c r="GN407" s="64"/>
      <c r="GO407" s="64"/>
      <c r="GP407" s="64"/>
      <c r="GQ407" s="64"/>
      <c r="GR407" s="64"/>
      <c r="GS407" s="64"/>
      <c r="GT407" s="64"/>
      <c r="GU407" s="64"/>
      <c r="GV407" s="64"/>
      <c r="GW407" s="64"/>
      <c r="GX407" s="64"/>
      <c r="GY407" s="64"/>
      <c r="GZ407" s="64"/>
      <c r="HA407" s="64"/>
      <c r="HB407" s="64"/>
      <c r="HC407" s="64"/>
      <c r="HD407" s="64"/>
      <c r="HE407" s="64"/>
      <c r="HF407" s="64"/>
      <c r="HG407" s="64"/>
      <c r="HH407" s="64"/>
      <c r="HI407" s="64"/>
      <c r="HJ407" s="64"/>
      <c r="HK407" s="64"/>
      <c r="HL407" s="64"/>
      <c r="HM407" s="64"/>
      <c r="HN407" s="64"/>
      <c r="HO407" s="64"/>
      <c r="HP407" s="64"/>
      <c r="HQ407" s="64"/>
      <c r="HR407" s="64"/>
      <c r="HS407" s="64"/>
      <c r="HT407" s="64"/>
      <c r="HU407" s="64"/>
      <c r="HV407" s="64"/>
      <c r="HW407" s="64"/>
      <c r="HX407" s="64"/>
      <c r="HY407" s="64"/>
      <c r="HZ407" s="64"/>
      <c r="IA407" s="64"/>
      <c r="IB407" s="64"/>
      <c r="IC407" s="64"/>
      <c r="ID407" s="64"/>
      <c r="IE407" s="64"/>
      <c r="IF407" s="64"/>
      <c r="IG407" s="64"/>
      <c r="IH407" s="64"/>
      <c r="II407" s="64"/>
      <c r="IJ407" s="64"/>
      <c r="IK407" s="64"/>
      <c r="IL407" s="64"/>
      <c r="IM407" s="64"/>
      <c r="IN407" s="64"/>
      <c r="IO407" s="64"/>
      <c r="IP407" s="64"/>
      <c r="IQ407" s="64"/>
      <c r="IR407" s="64"/>
      <c r="IS407" s="64"/>
      <c r="IT407" s="64"/>
      <c r="IU407" s="64"/>
      <c r="IV407" s="64"/>
      <c r="IW407" s="64"/>
      <c r="IX407" s="64"/>
      <c r="IY407" s="64"/>
      <c r="IZ407" s="64"/>
      <c r="JA407" s="64"/>
      <c r="JB407" s="64"/>
      <c r="JC407" s="64"/>
      <c r="JD407" s="64"/>
      <c r="JE407" s="64"/>
      <c r="JF407" s="64"/>
      <c r="JG407" s="64"/>
      <c r="JH407" s="64"/>
      <c r="JI407" s="64"/>
    </row>
    <row r="408" spans="1:269" s="920" customFormat="1" x14ac:dyDescent="0.2">
      <c r="A408" s="116"/>
      <c r="B408" s="64"/>
      <c r="C408" s="64"/>
      <c r="D408" s="64"/>
      <c r="E408" s="64"/>
      <c r="F408" s="64"/>
      <c r="G408" s="64"/>
      <c r="H408" s="64"/>
      <c r="I408" s="64"/>
      <c r="J408" s="116"/>
      <c r="K408" s="116"/>
      <c r="L408" s="116"/>
      <c r="M408" s="116"/>
      <c r="N408" s="116"/>
      <c r="O408" s="116"/>
      <c r="P408" s="116"/>
      <c r="Q408" s="102"/>
      <c r="R408" s="102"/>
      <c r="S408" s="102"/>
      <c r="T408" s="102"/>
      <c r="U408" s="913"/>
      <c r="V408" s="114"/>
      <c r="W408" s="805"/>
      <c r="X408" s="805"/>
      <c r="Y408" s="805"/>
      <c r="Z408" s="914"/>
      <c r="AA408" s="102"/>
      <c r="AB408" s="102"/>
      <c r="AC408" s="102"/>
      <c r="AD408" s="102"/>
      <c r="AE408" s="102"/>
      <c r="AF408" s="102"/>
      <c r="AG408" s="102"/>
      <c r="AH408" s="102"/>
      <c r="AI408" s="102"/>
      <c r="AJ408" s="906"/>
      <c r="AK408" s="102"/>
      <c r="AL408" s="915"/>
      <c r="AM408" s="915"/>
      <c r="AN408" s="114"/>
      <c r="AO408" s="64"/>
      <c r="AP408" s="64"/>
      <c r="AQ408" s="64"/>
      <c r="AR408" s="916"/>
      <c r="AS408" s="916"/>
      <c r="AT408" s="916"/>
      <c r="AU408" s="917"/>
      <c r="AV408" s="917"/>
      <c r="AW408" s="917"/>
      <c r="AX408" s="918"/>
      <c r="AY408" s="916"/>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917"/>
      <c r="CA408" s="917"/>
      <c r="CB408" s="64"/>
      <c r="CC408" s="919"/>
      <c r="CD408" s="919"/>
      <c r="CE408" s="64"/>
      <c r="CF408" s="528"/>
      <c r="CG408" s="529"/>
      <c r="CH408" s="64"/>
      <c r="CI408" s="64"/>
      <c r="CJ408" s="64"/>
      <c r="CK408" s="64"/>
      <c r="CL408" s="64"/>
      <c r="CM408" s="64"/>
      <c r="CN408" s="64"/>
      <c r="CO408" s="64"/>
      <c r="CP408" s="64"/>
      <c r="CQ408" s="64"/>
      <c r="CR408" s="64"/>
      <c r="CS408" s="64"/>
      <c r="CT408" s="64"/>
      <c r="CU408" s="64"/>
      <c r="CV408" s="64"/>
      <c r="CW408" s="64"/>
      <c r="CX408" s="64"/>
      <c r="CY408" s="1011"/>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4"/>
      <c r="FL408" s="64"/>
      <c r="FM408" s="64"/>
      <c r="FN408" s="64"/>
      <c r="FO408" s="64"/>
      <c r="FP408" s="64"/>
      <c r="FQ408" s="64"/>
      <c r="FR408" s="64"/>
      <c r="FS408" s="64"/>
      <c r="FT408" s="64"/>
      <c r="FU408" s="64"/>
      <c r="FV408" s="64"/>
      <c r="FW408" s="64"/>
      <c r="FX408" s="64"/>
      <c r="FY408" s="64"/>
      <c r="FZ408" s="64"/>
      <c r="GA408" s="64"/>
      <c r="GB408" s="64"/>
      <c r="GC408" s="64"/>
      <c r="GD408" s="64"/>
      <c r="GE408" s="64"/>
      <c r="GF408" s="64"/>
      <c r="GG408" s="64"/>
      <c r="GH408" s="64"/>
      <c r="GI408" s="64"/>
      <c r="GJ408" s="64"/>
      <c r="GK408" s="64"/>
      <c r="GL408" s="64"/>
      <c r="GM408" s="64"/>
      <c r="GN408" s="64"/>
      <c r="GO408" s="64"/>
      <c r="GP408" s="64"/>
      <c r="GQ408" s="64"/>
      <c r="GR408" s="64"/>
      <c r="GS408" s="64"/>
      <c r="GT408" s="64"/>
      <c r="GU408" s="64"/>
      <c r="GV408" s="64"/>
      <c r="GW408" s="64"/>
      <c r="GX408" s="64"/>
      <c r="GY408" s="64"/>
      <c r="GZ408" s="64"/>
      <c r="HA408" s="64"/>
      <c r="HB408" s="64"/>
      <c r="HC408" s="64"/>
      <c r="HD408" s="64"/>
      <c r="HE408" s="64"/>
      <c r="HF408" s="64"/>
      <c r="HG408" s="64"/>
      <c r="HH408" s="64"/>
      <c r="HI408" s="64"/>
      <c r="HJ408" s="64"/>
      <c r="HK408" s="64"/>
      <c r="HL408" s="64"/>
      <c r="HM408" s="64"/>
      <c r="HN408" s="64"/>
      <c r="HO408" s="64"/>
      <c r="HP408" s="64"/>
      <c r="HQ408" s="64"/>
      <c r="HR408" s="64"/>
      <c r="HS408" s="64"/>
      <c r="HT408" s="64"/>
      <c r="HU408" s="64"/>
      <c r="HV408" s="64"/>
      <c r="HW408" s="64"/>
      <c r="HX408" s="64"/>
      <c r="HY408" s="64"/>
      <c r="HZ408" s="64"/>
      <c r="IA408" s="64"/>
      <c r="IB408" s="64"/>
      <c r="IC408" s="64"/>
      <c r="ID408" s="64"/>
      <c r="IE408" s="64"/>
      <c r="IF408" s="64"/>
      <c r="IG408" s="64"/>
      <c r="IH408" s="64"/>
      <c r="II408" s="64"/>
      <c r="IJ408" s="64"/>
      <c r="IK408" s="64"/>
      <c r="IL408" s="64"/>
      <c r="IM408" s="64"/>
      <c r="IN408" s="64"/>
      <c r="IO408" s="64"/>
      <c r="IP408" s="64"/>
      <c r="IQ408" s="64"/>
      <c r="IR408" s="64"/>
      <c r="IS408" s="64"/>
      <c r="IT408" s="64"/>
      <c r="IU408" s="64"/>
      <c r="IV408" s="64"/>
      <c r="IW408" s="64"/>
      <c r="IX408" s="64"/>
      <c r="IY408" s="64"/>
      <c r="IZ408" s="64"/>
      <c r="JA408" s="64"/>
      <c r="JB408" s="64"/>
      <c r="JC408" s="64"/>
      <c r="JD408" s="64"/>
      <c r="JE408" s="64"/>
      <c r="JF408" s="64"/>
      <c r="JG408" s="64"/>
      <c r="JH408" s="64"/>
      <c r="JI408" s="64"/>
    </row>
    <row r="409" spans="1:269" s="920" customFormat="1" x14ac:dyDescent="0.2">
      <c r="A409" s="116"/>
      <c r="B409" s="64"/>
      <c r="C409" s="64"/>
      <c r="D409" s="64"/>
      <c r="E409" s="64"/>
      <c r="F409" s="64"/>
      <c r="G409" s="64"/>
      <c r="H409" s="64"/>
      <c r="I409" s="64"/>
      <c r="J409" s="116"/>
      <c r="K409" s="116"/>
      <c r="L409" s="116"/>
      <c r="M409" s="116"/>
      <c r="N409" s="116"/>
      <c r="O409" s="116"/>
      <c r="P409" s="116"/>
      <c r="Q409" s="102"/>
      <c r="R409" s="102"/>
      <c r="S409" s="102"/>
      <c r="T409" s="102"/>
      <c r="U409" s="913"/>
      <c r="V409" s="114"/>
      <c r="W409" s="805"/>
      <c r="X409" s="805"/>
      <c r="Y409" s="805"/>
      <c r="Z409" s="914"/>
      <c r="AA409" s="102"/>
      <c r="AB409" s="102"/>
      <c r="AC409" s="102"/>
      <c r="AD409" s="102"/>
      <c r="AE409" s="102"/>
      <c r="AF409" s="102"/>
      <c r="AG409" s="102"/>
      <c r="AH409" s="102"/>
      <c r="AI409" s="102"/>
      <c r="AJ409" s="906"/>
      <c r="AK409" s="102"/>
      <c r="AL409" s="915"/>
      <c r="AM409" s="915"/>
      <c r="AN409" s="114"/>
      <c r="AO409" s="64"/>
      <c r="AP409" s="64"/>
      <c r="AQ409" s="64"/>
      <c r="AR409" s="916"/>
      <c r="AS409" s="916"/>
      <c r="AT409" s="916"/>
      <c r="AU409" s="917"/>
      <c r="AV409" s="917"/>
      <c r="AW409" s="917"/>
      <c r="AX409" s="918"/>
      <c r="AY409" s="916"/>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917"/>
      <c r="CA409" s="917"/>
      <c r="CB409" s="64"/>
      <c r="CC409" s="919"/>
      <c r="CD409" s="919"/>
      <c r="CE409" s="64"/>
      <c r="CF409" s="528"/>
      <c r="CG409" s="529"/>
      <c r="CH409" s="64"/>
      <c r="CI409" s="64"/>
      <c r="CJ409" s="64"/>
      <c r="CK409" s="64"/>
      <c r="CL409" s="64"/>
      <c r="CM409" s="64"/>
      <c r="CN409" s="64"/>
      <c r="CO409" s="64"/>
      <c r="CP409" s="64"/>
      <c r="CQ409" s="64"/>
      <c r="CR409" s="64"/>
      <c r="CS409" s="64"/>
      <c r="CT409" s="64"/>
      <c r="CU409" s="64"/>
      <c r="CV409" s="64"/>
      <c r="CW409" s="64"/>
      <c r="CX409" s="64"/>
      <c r="CY409" s="1011"/>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c r="FC409" s="64"/>
      <c r="FD409" s="64"/>
      <c r="FE409" s="64"/>
      <c r="FF409" s="64"/>
      <c r="FG409" s="64"/>
      <c r="FH409" s="64"/>
      <c r="FI409" s="64"/>
      <c r="FJ409" s="64"/>
      <c r="FK409" s="64"/>
      <c r="FL409" s="64"/>
      <c r="FM409" s="64"/>
      <c r="FN409" s="64"/>
      <c r="FO409" s="64"/>
      <c r="FP409" s="64"/>
      <c r="FQ409" s="64"/>
      <c r="FR409" s="64"/>
      <c r="FS409" s="64"/>
      <c r="FT409" s="64"/>
      <c r="FU409" s="64"/>
      <c r="FV409" s="64"/>
      <c r="FW409" s="64"/>
      <c r="FX409" s="64"/>
      <c r="FY409" s="64"/>
      <c r="FZ409" s="64"/>
      <c r="GA409" s="64"/>
      <c r="GB409" s="64"/>
      <c r="GC409" s="64"/>
      <c r="GD409" s="64"/>
      <c r="GE409" s="64"/>
      <c r="GF409" s="64"/>
      <c r="GG409" s="64"/>
      <c r="GH409" s="64"/>
      <c r="GI409" s="64"/>
      <c r="GJ409" s="64"/>
      <c r="GK409" s="64"/>
      <c r="GL409" s="64"/>
      <c r="GM409" s="64"/>
      <c r="GN409" s="64"/>
      <c r="GO409" s="64"/>
      <c r="GP409" s="64"/>
      <c r="GQ409" s="64"/>
      <c r="GR409" s="64"/>
      <c r="GS409" s="64"/>
      <c r="GT409" s="64"/>
      <c r="GU409" s="64"/>
      <c r="GV409" s="64"/>
      <c r="GW409" s="64"/>
      <c r="GX409" s="64"/>
      <c r="GY409" s="64"/>
      <c r="GZ409" s="64"/>
      <c r="HA409" s="64"/>
      <c r="HB409" s="64"/>
      <c r="HC409" s="64"/>
      <c r="HD409" s="64"/>
      <c r="HE409" s="64"/>
      <c r="HF409" s="64"/>
      <c r="HG409" s="64"/>
      <c r="HH409" s="64"/>
      <c r="HI409" s="64"/>
      <c r="HJ409" s="64"/>
      <c r="HK409" s="64"/>
      <c r="HL409" s="64"/>
      <c r="HM409" s="64"/>
      <c r="HN409" s="64"/>
      <c r="HO409" s="64"/>
      <c r="HP409" s="64"/>
      <c r="HQ409" s="64"/>
      <c r="HR409" s="64"/>
      <c r="HS409" s="64"/>
      <c r="HT409" s="64"/>
      <c r="HU409" s="64"/>
      <c r="HV409" s="64"/>
      <c r="HW409" s="64"/>
      <c r="HX409" s="64"/>
      <c r="HY409" s="64"/>
      <c r="HZ409" s="64"/>
      <c r="IA409" s="64"/>
      <c r="IB409" s="64"/>
      <c r="IC409" s="64"/>
      <c r="ID409" s="64"/>
      <c r="IE409" s="64"/>
      <c r="IF409" s="64"/>
      <c r="IG409" s="64"/>
      <c r="IH409" s="64"/>
      <c r="II409" s="64"/>
      <c r="IJ409" s="64"/>
      <c r="IK409" s="64"/>
      <c r="IL409" s="64"/>
      <c r="IM409" s="64"/>
      <c r="IN409" s="64"/>
      <c r="IO409" s="64"/>
      <c r="IP409" s="64"/>
      <c r="IQ409" s="64"/>
      <c r="IR409" s="64"/>
      <c r="IS409" s="64"/>
      <c r="IT409" s="64"/>
      <c r="IU409" s="64"/>
      <c r="IV409" s="64"/>
      <c r="IW409" s="64"/>
      <c r="IX409" s="64"/>
      <c r="IY409" s="64"/>
      <c r="IZ409" s="64"/>
      <c r="JA409" s="64"/>
      <c r="JB409" s="64"/>
      <c r="JC409" s="64"/>
      <c r="JD409" s="64"/>
      <c r="JE409" s="64"/>
      <c r="JF409" s="64"/>
      <c r="JG409" s="64"/>
      <c r="JH409" s="64"/>
      <c r="JI409" s="64"/>
    </row>
    <row r="410" spans="1:269" s="920" customFormat="1" x14ac:dyDescent="0.2">
      <c r="A410" s="116"/>
      <c r="B410" s="64"/>
      <c r="C410" s="64"/>
      <c r="D410" s="64"/>
      <c r="E410" s="64"/>
      <c r="F410" s="64"/>
      <c r="G410" s="64"/>
      <c r="H410" s="64"/>
      <c r="I410" s="64"/>
      <c r="J410" s="116"/>
      <c r="K410" s="116"/>
      <c r="L410" s="116"/>
      <c r="M410" s="116"/>
      <c r="N410" s="116"/>
      <c r="O410" s="116"/>
      <c r="P410" s="116"/>
      <c r="Q410" s="102"/>
      <c r="R410" s="102"/>
      <c r="S410" s="102"/>
      <c r="T410" s="102"/>
      <c r="U410" s="913"/>
      <c r="V410" s="114"/>
      <c r="W410" s="805"/>
      <c r="X410" s="805"/>
      <c r="Y410" s="805"/>
      <c r="Z410" s="914"/>
      <c r="AA410" s="102"/>
      <c r="AB410" s="102"/>
      <c r="AC410" s="102"/>
      <c r="AD410" s="102"/>
      <c r="AE410" s="102"/>
      <c r="AF410" s="102"/>
      <c r="AG410" s="102"/>
      <c r="AH410" s="102"/>
      <c r="AI410" s="102"/>
      <c r="AJ410" s="906"/>
      <c r="AK410" s="102"/>
      <c r="AL410" s="915"/>
      <c r="AM410" s="915"/>
      <c r="AN410" s="114"/>
      <c r="AO410" s="64"/>
      <c r="AP410" s="64"/>
      <c r="AQ410" s="64"/>
      <c r="AR410" s="916"/>
      <c r="AS410" s="916"/>
      <c r="AT410" s="916"/>
      <c r="AU410" s="917"/>
      <c r="AV410" s="917"/>
      <c r="AW410" s="917"/>
      <c r="AX410" s="918"/>
      <c r="AY410" s="916"/>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917"/>
      <c r="CA410" s="917"/>
      <c r="CB410" s="64"/>
      <c r="CC410" s="919"/>
      <c r="CD410" s="919"/>
      <c r="CE410" s="64"/>
      <c r="CF410" s="528"/>
      <c r="CG410" s="529"/>
      <c r="CH410" s="64"/>
      <c r="CI410" s="64"/>
      <c r="CJ410" s="64"/>
      <c r="CK410" s="64"/>
      <c r="CL410" s="64"/>
      <c r="CM410" s="64"/>
      <c r="CN410" s="64"/>
      <c r="CO410" s="64"/>
      <c r="CP410" s="64"/>
      <c r="CQ410" s="64"/>
      <c r="CR410" s="64"/>
      <c r="CS410" s="64"/>
      <c r="CT410" s="64"/>
      <c r="CU410" s="64"/>
      <c r="CV410" s="64"/>
      <c r="CW410" s="64"/>
      <c r="CX410" s="64"/>
      <c r="CY410" s="1011"/>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c r="FC410" s="64"/>
      <c r="FD410" s="64"/>
      <c r="FE410" s="64"/>
      <c r="FF410" s="64"/>
      <c r="FG410" s="64"/>
      <c r="FH410" s="64"/>
      <c r="FI410" s="64"/>
      <c r="FJ410" s="64"/>
      <c r="FK410" s="64"/>
      <c r="FL410" s="64"/>
      <c r="FM410" s="64"/>
      <c r="FN410" s="64"/>
      <c r="FO410" s="64"/>
      <c r="FP410" s="64"/>
      <c r="FQ410" s="64"/>
      <c r="FR410" s="64"/>
      <c r="FS410" s="64"/>
      <c r="FT410" s="64"/>
      <c r="FU410" s="64"/>
      <c r="FV410" s="64"/>
      <c r="FW410" s="64"/>
      <c r="FX410" s="64"/>
      <c r="FY410" s="64"/>
      <c r="FZ410" s="64"/>
      <c r="GA410" s="64"/>
      <c r="GB410" s="64"/>
      <c r="GC410" s="64"/>
      <c r="GD410" s="64"/>
      <c r="GE410" s="64"/>
      <c r="GF410" s="64"/>
      <c r="GG410" s="64"/>
      <c r="GH410" s="64"/>
      <c r="GI410" s="64"/>
      <c r="GJ410" s="64"/>
      <c r="GK410" s="64"/>
      <c r="GL410" s="64"/>
      <c r="GM410" s="64"/>
      <c r="GN410" s="64"/>
      <c r="GO410" s="64"/>
      <c r="GP410" s="64"/>
      <c r="GQ410" s="64"/>
      <c r="GR410" s="64"/>
      <c r="GS410" s="64"/>
      <c r="GT410" s="64"/>
      <c r="GU410" s="64"/>
      <c r="GV410" s="64"/>
      <c r="GW410" s="64"/>
      <c r="GX410" s="64"/>
      <c r="GY410" s="64"/>
      <c r="GZ410" s="64"/>
      <c r="HA410" s="64"/>
      <c r="HB410" s="64"/>
      <c r="HC410" s="64"/>
      <c r="HD410" s="64"/>
      <c r="HE410" s="64"/>
      <c r="HF410" s="64"/>
      <c r="HG410" s="64"/>
      <c r="HH410" s="64"/>
      <c r="HI410" s="64"/>
      <c r="HJ410" s="64"/>
      <c r="HK410" s="64"/>
      <c r="HL410" s="64"/>
      <c r="HM410" s="64"/>
      <c r="HN410" s="64"/>
      <c r="HO410" s="64"/>
      <c r="HP410" s="64"/>
      <c r="HQ410" s="64"/>
      <c r="HR410" s="64"/>
      <c r="HS410" s="64"/>
      <c r="HT410" s="64"/>
      <c r="HU410" s="64"/>
      <c r="HV410" s="64"/>
      <c r="HW410" s="64"/>
      <c r="HX410" s="64"/>
      <c r="HY410" s="64"/>
      <c r="HZ410" s="64"/>
      <c r="IA410" s="64"/>
      <c r="IB410" s="64"/>
      <c r="IC410" s="64"/>
      <c r="ID410" s="64"/>
      <c r="IE410" s="64"/>
      <c r="IF410" s="64"/>
      <c r="IG410" s="64"/>
      <c r="IH410" s="64"/>
      <c r="II410" s="64"/>
      <c r="IJ410" s="64"/>
      <c r="IK410" s="64"/>
      <c r="IL410" s="64"/>
      <c r="IM410" s="64"/>
      <c r="IN410" s="64"/>
      <c r="IO410" s="64"/>
      <c r="IP410" s="64"/>
      <c r="IQ410" s="64"/>
      <c r="IR410" s="64"/>
      <c r="IS410" s="64"/>
      <c r="IT410" s="64"/>
      <c r="IU410" s="64"/>
      <c r="IV410" s="64"/>
      <c r="IW410" s="64"/>
      <c r="IX410" s="64"/>
      <c r="IY410" s="64"/>
      <c r="IZ410" s="64"/>
      <c r="JA410" s="64"/>
      <c r="JB410" s="64"/>
      <c r="JC410" s="64"/>
      <c r="JD410" s="64"/>
      <c r="JE410" s="64"/>
      <c r="JF410" s="64"/>
      <c r="JG410" s="64"/>
      <c r="JH410" s="64"/>
      <c r="JI410" s="64"/>
    </row>
    <row r="411" spans="1:269" s="920" customFormat="1" x14ac:dyDescent="0.2">
      <c r="A411" s="116"/>
      <c r="B411" s="64"/>
      <c r="C411" s="64"/>
      <c r="D411" s="64"/>
      <c r="E411" s="64"/>
      <c r="F411" s="64"/>
      <c r="G411" s="64"/>
      <c r="H411" s="64"/>
      <c r="I411" s="64"/>
      <c r="J411" s="116"/>
      <c r="K411" s="116"/>
      <c r="L411" s="116"/>
      <c r="M411" s="116"/>
      <c r="N411" s="116"/>
      <c r="O411" s="116"/>
      <c r="P411" s="116"/>
      <c r="Q411" s="102"/>
      <c r="R411" s="102"/>
      <c r="S411" s="102"/>
      <c r="T411" s="102"/>
      <c r="U411" s="913"/>
      <c r="V411" s="114"/>
      <c r="W411" s="805"/>
      <c r="X411" s="805"/>
      <c r="Y411" s="805"/>
      <c r="Z411" s="914"/>
      <c r="AA411" s="102"/>
      <c r="AB411" s="102"/>
      <c r="AC411" s="102"/>
      <c r="AD411" s="102"/>
      <c r="AE411" s="102"/>
      <c r="AF411" s="102"/>
      <c r="AG411" s="102"/>
      <c r="AH411" s="102"/>
      <c r="AI411" s="102"/>
      <c r="AJ411" s="906"/>
      <c r="AK411" s="102"/>
      <c r="AL411" s="915"/>
      <c r="AM411" s="915"/>
      <c r="AN411" s="114"/>
      <c r="AO411" s="64"/>
      <c r="AP411" s="64"/>
      <c r="AQ411" s="64"/>
      <c r="AR411" s="916"/>
      <c r="AS411" s="916"/>
      <c r="AT411" s="916"/>
      <c r="AU411" s="917"/>
      <c r="AV411" s="917"/>
      <c r="AW411" s="917"/>
      <c r="AX411" s="918"/>
      <c r="AY411" s="916"/>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917"/>
      <c r="CA411" s="917"/>
      <c r="CB411" s="64"/>
      <c r="CC411" s="919"/>
      <c r="CD411" s="919"/>
      <c r="CE411" s="64"/>
      <c r="CF411" s="528"/>
      <c r="CG411" s="529"/>
      <c r="CH411" s="64"/>
      <c r="CI411" s="64"/>
      <c r="CJ411" s="64"/>
      <c r="CK411" s="64"/>
      <c r="CL411" s="64"/>
      <c r="CM411" s="64"/>
      <c r="CN411" s="64"/>
      <c r="CO411" s="64"/>
      <c r="CP411" s="64"/>
      <c r="CQ411" s="64"/>
      <c r="CR411" s="64"/>
      <c r="CS411" s="64"/>
      <c r="CT411" s="64"/>
      <c r="CU411" s="64"/>
      <c r="CV411" s="64"/>
      <c r="CW411" s="64"/>
      <c r="CX411" s="64"/>
      <c r="CY411" s="1011"/>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c r="FC411" s="64"/>
      <c r="FD411" s="64"/>
      <c r="FE411" s="64"/>
      <c r="FF411" s="64"/>
      <c r="FG411" s="64"/>
      <c r="FH411" s="64"/>
      <c r="FI411" s="64"/>
      <c r="FJ411" s="64"/>
      <c r="FK411" s="64"/>
      <c r="FL411" s="64"/>
      <c r="FM411" s="64"/>
      <c r="FN411" s="64"/>
      <c r="FO411" s="64"/>
      <c r="FP411" s="64"/>
      <c r="FQ411" s="64"/>
      <c r="FR411" s="64"/>
      <c r="FS411" s="64"/>
      <c r="FT411" s="64"/>
      <c r="FU411" s="64"/>
      <c r="FV411" s="64"/>
      <c r="FW411" s="64"/>
      <c r="FX411" s="64"/>
      <c r="FY411" s="64"/>
      <c r="FZ411" s="64"/>
      <c r="GA411" s="64"/>
      <c r="GB411" s="64"/>
      <c r="GC411" s="64"/>
      <c r="GD411" s="64"/>
      <c r="GE411" s="64"/>
      <c r="GF411" s="64"/>
      <c r="GG411" s="64"/>
      <c r="GH411" s="64"/>
      <c r="GI411" s="64"/>
      <c r="GJ411" s="64"/>
      <c r="GK411" s="64"/>
      <c r="GL411" s="64"/>
      <c r="GM411" s="64"/>
      <c r="GN411" s="64"/>
      <c r="GO411" s="64"/>
      <c r="GP411" s="64"/>
      <c r="GQ411" s="64"/>
      <c r="GR411" s="64"/>
      <c r="GS411" s="64"/>
      <c r="GT411" s="64"/>
      <c r="GU411" s="64"/>
      <c r="GV411" s="64"/>
      <c r="GW411" s="64"/>
      <c r="GX411" s="64"/>
      <c r="GY411" s="64"/>
      <c r="GZ411" s="64"/>
      <c r="HA411" s="64"/>
      <c r="HB411" s="64"/>
      <c r="HC411" s="64"/>
      <c r="HD411" s="64"/>
      <c r="HE411" s="64"/>
      <c r="HF411" s="64"/>
      <c r="HG411" s="64"/>
      <c r="HH411" s="64"/>
      <c r="HI411" s="64"/>
      <c r="HJ411" s="64"/>
      <c r="HK411" s="64"/>
      <c r="HL411" s="64"/>
      <c r="HM411" s="64"/>
      <c r="HN411" s="64"/>
      <c r="HO411" s="64"/>
      <c r="HP411" s="64"/>
      <c r="HQ411" s="64"/>
      <c r="HR411" s="64"/>
      <c r="HS411" s="64"/>
      <c r="HT411" s="64"/>
      <c r="HU411" s="64"/>
      <c r="HV411" s="64"/>
      <c r="HW411" s="64"/>
      <c r="HX411" s="64"/>
      <c r="HY411" s="64"/>
      <c r="HZ411" s="64"/>
      <c r="IA411" s="64"/>
      <c r="IB411" s="64"/>
      <c r="IC411" s="64"/>
      <c r="ID411" s="64"/>
      <c r="IE411" s="64"/>
      <c r="IF411" s="64"/>
      <c r="IG411" s="64"/>
      <c r="IH411" s="64"/>
      <c r="II411" s="64"/>
      <c r="IJ411" s="64"/>
      <c r="IK411" s="64"/>
      <c r="IL411" s="64"/>
      <c r="IM411" s="64"/>
      <c r="IN411" s="64"/>
      <c r="IO411" s="64"/>
      <c r="IP411" s="64"/>
      <c r="IQ411" s="64"/>
      <c r="IR411" s="64"/>
      <c r="IS411" s="64"/>
      <c r="IT411" s="64"/>
      <c r="IU411" s="64"/>
      <c r="IV411" s="64"/>
      <c r="IW411" s="64"/>
      <c r="IX411" s="64"/>
      <c r="IY411" s="64"/>
      <c r="IZ411" s="64"/>
      <c r="JA411" s="64"/>
      <c r="JB411" s="64"/>
      <c r="JC411" s="64"/>
      <c r="JD411" s="64"/>
      <c r="JE411" s="64"/>
      <c r="JF411" s="64"/>
      <c r="JG411" s="64"/>
      <c r="JH411" s="64"/>
      <c r="JI411" s="64"/>
    </row>
    <row r="412" spans="1:269" s="920" customFormat="1" x14ac:dyDescent="0.2">
      <c r="A412" s="116"/>
      <c r="B412" s="64"/>
      <c r="C412" s="64"/>
      <c r="D412" s="64"/>
      <c r="E412" s="64"/>
      <c r="F412" s="64"/>
      <c r="G412" s="64"/>
      <c r="H412" s="64"/>
      <c r="I412" s="64"/>
      <c r="J412" s="116"/>
      <c r="K412" s="116"/>
      <c r="L412" s="116"/>
      <c r="M412" s="116"/>
      <c r="N412" s="116"/>
      <c r="O412" s="116"/>
      <c r="P412" s="116"/>
      <c r="Q412" s="102"/>
      <c r="R412" s="102"/>
      <c r="S412" s="102"/>
      <c r="T412" s="102"/>
      <c r="U412" s="913"/>
      <c r="V412" s="114"/>
      <c r="W412" s="805"/>
      <c r="X412" s="805"/>
      <c r="Y412" s="805"/>
      <c r="Z412" s="914"/>
      <c r="AA412" s="102"/>
      <c r="AB412" s="102"/>
      <c r="AC412" s="102"/>
      <c r="AD412" s="102"/>
      <c r="AE412" s="102"/>
      <c r="AF412" s="102"/>
      <c r="AG412" s="102"/>
      <c r="AH412" s="102"/>
      <c r="AI412" s="102"/>
      <c r="AJ412" s="906"/>
      <c r="AK412" s="102"/>
      <c r="AL412" s="915"/>
      <c r="AM412" s="915"/>
      <c r="AN412" s="114"/>
      <c r="AO412" s="64"/>
      <c r="AP412" s="64"/>
      <c r="AQ412" s="64"/>
      <c r="AR412" s="916"/>
      <c r="AS412" s="916"/>
      <c r="AT412" s="916"/>
      <c r="AU412" s="917"/>
      <c r="AV412" s="917"/>
      <c r="AW412" s="917"/>
      <c r="AX412" s="918"/>
      <c r="AY412" s="916"/>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917"/>
      <c r="CA412" s="917"/>
      <c r="CB412" s="64"/>
      <c r="CC412" s="919"/>
      <c r="CD412" s="919"/>
      <c r="CE412" s="64"/>
      <c r="CF412" s="528"/>
      <c r="CG412" s="529"/>
      <c r="CH412" s="64"/>
      <c r="CI412" s="64"/>
      <c r="CJ412" s="64"/>
      <c r="CK412" s="64"/>
      <c r="CL412" s="64"/>
      <c r="CM412" s="64"/>
      <c r="CN412" s="64"/>
      <c r="CO412" s="64"/>
      <c r="CP412" s="64"/>
      <c r="CQ412" s="64"/>
      <c r="CR412" s="64"/>
      <c r="CS412" s="64"/>
      <c r="CT412" s="64"/>
      <c r="CU412" s="64"/>
      <c r="CV412" s="64"/>
      <c r="CW412" s="64"/>
      <c r="CX412" s="64"/>
      <c r="CY412" s="1011"/>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c r="FC412" s="64"/>
      <c r="FD412" s="64"/>
      <c r="FE412" s="64"/>
      <c r="FF412" s="64"/>
      <c r="FG412" s="64"/>
      <c r="FH412" s="64"/>
      <c r="FI412" s="64"/>
      <c r="FJ412" s="64"/>
      <c r="FK412" s="64"/>
      <c r="FL412" s="64"/>
      <c r="FM412" s="64"/>
      <c r="FN412" s="64"/>
      <c r="FO412" s="64"/>
      <c r="FP412" s="64"/>
      <c r="FQ412" s="64"/>
      <c r="FR412" s="64"/>
      <c r="FS412" s="64"/>
      <c r="FT412" s="64"/>
      <c r="FU412" s="64"/>
      <c r="FV412" s="64"/>
      <c r="FW412" s="64"/>
      <c r="FX412" s="64"/>
      <c r="FY412" s="64"/>
      <c r="FZ412" s="64"/>
      <c r="GA412" s="64"/>
      <c r="GB412" s="64"/>
      <c r="GC412" s="64"/>
      <c r="GD412" s="64"/>
      <c r="GE412" s="64"/>
      <c r="GF412" s="64"/>
      <c r="GG412" s="64"/>
      <c r="GH412" s="64"/>
      <c r="GI412" s="64"/>
      <c r="GJ412" s="64"/>
      <c r="GK412" s="64"/>
      <c r="GL412" s="64"/>
      <c r="GM412" s="64"/>
      <c r="GN412" s="64"/>
      <c r="GO412" s="64"/>
      <c r="GP412" s="64"/>
      <c r="GQ412" s="64"/>
      <c r="GR412" s="64"/>
      <c r="GS412" s="64"/>
      <c r="GT412" s="64"/>
      <c r="GU412" s="64"/>
      <c r="GV412" s="64"/>
      <c r="GW412" s="64"/>
      <c r="GX412" s="64"/>
      <c r="GY412" s="64"/>
      <c r="GZ412" s="64"/>
      <c r="HA412" s="64"/>
      <c r="HB412" s="64"/>
      <c r="HC412" s="64"/>
      <c r="HD412" s="64"/>
      <c r="HE412" s="64"/>
      <c r="HF412" s="64"/>
      <c r="HG412" s="64"/>
      <c r="HH412" s="64"/>
      <c r="HI412" s="64"/>
      <c r="HJ412" s="64"/>
      <c r="HK412" s="64"/>
      <c r="HL412" s="64"/>
      <c r="HM412" s="64"/>
      <c r="HN412" s="64"/>
      <c r="HO412" s="64"/>
      <c r="HP412" s="64"/>
      <c r="HQ412" s="64"/>
      <c r="HR412" s="64"/>
      <c r="HS412" s="64"/>
      <c r="HT412" s="64"/>
      <c r="HU412" s="64"/>
      <c r="HV412" s="64"/>
      <c r="HW412" s="64"/>
      <c r="HX412" s="64"/>
      <c r="HY412" s="64"/>
      <c r="HZ412" s="64"/>
      <c r="IA412" s="64"/>
      <c r="IB412" s="64"/>
      <c r="IC412" s="64"/>
      <c r="ID412" s="64"/>
      <c r="IE412" s="64"/>
      <c r="IF412" s="64"/>
      <c r="IG412" s="64"/>
      <c r="IH412" s="64"/>
      <c r="II412" s="64"/>
      <c r="IJ412" s="64"/>
      <c r="IK412" s="64"/>
      <c r="IL412" s="64"/>
      <c r="IM412" s="64"/>
      <c r="IN412" s="64"/>
      <c r="IO412" s="64"/>
      <c r="IP412" s="64"/>
      <c r="IQ412" s="64"/>
      <c r="IR412" s="64"/>
      <c r="IS412" s="64"/>
      <c r="IT412" s="64"/>
      <c r="IU412" s="64"/>
      <c r="IV412" s="64"/>
      <c r="IW412" s="64"/>
      <c r="IX412" s="64"/>
      <c r="IY412" s="64"/>
      <c r="IZ412" s="64"/>
      <c r="JA412" s="64"/>
      <c r="JB412" s="64"/>
      <c r="JC412" s="64"/>
      <c r="JD412" s="64"/>
      <c r="JE412" s="64"/>
      <c r="JF412" s="64"/>
      <c r="JG412" s="64"/>
      <c r="JH412" s="64"/>
      <c r="JI412" s="64"/>
    </row>
    <row r="413" spans="1:269" s="920" customFormat="1" x14ac:dyDescent="0.2">
      <c r="A413" s="116"/>
      <c r="B413" s="64"/>
      <c r="C413" s="64"/>
      <c r="D413" s="64"/>
      <c r="E413" s="64"/>
      <c r="F413" s="64"/>
      <c r="G413" s="64"/>
      <c r="H413" s="64"/>
      <c r="I413" s="64"/>
      <c r="J413" s="116"/>
      <c r="K413" s="116"/>
      <c r="L413" s="116"/>
      <c r="M413" s="116"/>
      <c r="N413" s="116"/>
      <c r="O413" s="116"/>
      <c r="P413" s="116"/>
      <c r="Q413" s="102"/>
      <c r="R413" s="102"/>
      <c r="S413" s="102"/>
      <c r="T413" s="102"/>
      <c r="U413" s="913"/>
      <c r="V413" s="114"/>
      <c r="W413" s="805"/>
      <c r="X413" s="805"/>
      <c r="Y413" s="805"/>
      <c r="Z413" s="914"/>
      <c r="AA413" s="102"/>
      <c r="AB413" s="102"/>
      <c r="AC413" s="102"/>
      <c r="AD413" s="102"/>
      <c r="AE413" s="102"/>
      <c r="AF413" s="102"/>
      <c r="AG413" s="102"/>
      <c r="AH413" s="102"/>
      <c r="AI413" s="102"/>
      <c r="AJ413" s="906"/>
      <c r="AK413" s="102"/>
      <c r="AL413" s="915"/>
      <c r="AM413" s="915"/>
      <c r="AN413" s="114"/>
      <c r="AO413" s="64"/>
      <c r="AP413" s="64"/>
      <c r="AQ413" s="64"/>
      <c r="AR413" s="916"/>
      <c r="AS413" s="916"/>
      <c r="AT413" s="916"/>
      <c r="AU413" s="917"/>
      <c r="AV413" s="917"/>
      <c r="AW413" s="917"/>
      <c r="AX413" s="918"/>
      <c r="AY413" s="916"/>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917"/>
      <c r="CA413" s="917"/>
      <c r="CB413" s="64"/>
      <c r="CC413" s="919"/>
      <c r="CD413" s="919"/>
      <c r="CE413" s="64"/>
      <c r="CF413" s="528"/>
      <c r="CG413" s="529"/>
      <c r="CH413" s="64"/>
      <c r="CI413" s="64"/>
      <c r="CJ413" s="64"/>
      <c r="CK413" s="64"/>
      <c r="CL413" s="64"/>
      <c r="CM413" s="64"/>
      <c r="CN413" s="64"/>
      <c r="CO413" s="64"/>
      <c r="CP413" s="64"/>
      <c r="CQ413" s="64"/>
      <c r="CR413" s="64"/>
      <c r="CS413" s="64"/>
      <c r="CT413" s="64"/>
      <c r="CU413" s="64"/>
      <c r="CV413" s="64"/>
      <c r="CW413" s="64"/>
      <c r="CX413" s="64"/>
      <c r="CY413" s="1011"/>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c r="FC413" s="64"/>
      <c r="FD413" s="64"/>
      <c r="FE413" s="64"/>
      <c r="FF413" s="64"/>
      <c r="FG413" s="64"/>
      <c r="FH413" s="64"/>
      <c r="FI413" s="64"/>
      <c r="FJ413" s="64"/>
      <c r="FK413" s="64"/>
      <c r="FL413" s="64"/>
      <c r="FM413" s="64"/>
      <c r="FN413" s="64"/>
      <c r="FO413" s="64"/>
      <c r="FP413" s="64"/>
      <c r="FQ413" s="64"/>
      <c r="FR413" s="64"/>
      <c r="FS413" s="64"/>
      <c r="FT413" s="64"/>
      <c r="FU413" s="64"/>
      <c r="FV413" s="64"/>
      <c r="FW413" s="64"/>
      <c r="FX413" s="64"/>
      <c r="FY413" s="64"/>
      <c r="FZ413" s="64"/>
      <c r="GA413" s="64"/>
      <c r="GB413" s="64"/>
      <c r="GC413" s="64"/>
      <c r="GD413" s="64"/>
      <c r="GE413" s="64"/>
      <c r="GF413" s="64"/>
      <c r="GG413" s="64"/>
      <c r="GH413" s="64"/>
      <c r="GI413" s="64"/>
      <c r="GJ413" s="64"/>
      <c r="GK413" s="64"/>
      <c r="GL413" s="64"/>
      <c r="GM413" s="64"/>
      <c r="GN413" s="64"/>
      <c r="GO413" s="64"/>
      <c r="GP413" s="64"/>
      <c r="GQ413" s="64"/>
      <c r="GR413" s="64"/>
      <c r="GS413" s="64"/>
      <c r="GT413" s="64"/>
      <c r="GU413" s="64"/>
      <c r="GV413" s="64"/>
      <c r="GW413" s="64"/>
      <c r="GX413" s="64"/>
      <c r="GY413" s="64"/>
      <c r="GZ413" s="64"/>
      <c r="HA413" s="64"/>
      <c r="HB413" s="64"/>
      <c r="HC413" s="64"/>
      <c r="HD413" s="64"/>
      <c r="HE413" s="64"/>
      <c r="HF413" s="64"/>
      <c r="HG413" s="64"/>
      <c r="HH413" s="64"/>
      <c r="HI413" s="64"/>
      <c r="HJ413" s="64"/>
      <c r="HK413" s="64"/>
      <c r="HL413" s="64"/>
      <c r="HM413" s="64"/>
      <c r="HN413" s="64"/>
      <c r="HO413" s="64"/>
      <c r="HP413" s="64"/>
      <c r="HQ413" s="64"/>
      <c r="HR413" s="64"/>
      <c r="HS413" s="64"/>
      <c r="HT413" s="64"/>
      <c r="HU413" s="64"/>
      <c r="HV413" s="64"/>
      <c r="HW413" s="64"/>
      <c r="HX413" s="64"/>
      <c r="HY413" s="64"/>
      <c r="HZ413" s="64"/>
      <c r="IA413" s="64"/>
      <c r="IB413" s="64"/>
      <c r="IC413" s="64"/>
      <c r="ID413" s="64"/>
      <c r="IE413" s="64"/>
      <c r="IF413" s="64"/>
      <c r="IG413" s="64"/>
      <c r="IH413" s="64"/>
      <c r="II413" s="64"/>
      <c r="IJ413" s="64"/>
      <c r="IK413" s="64"/>
      <c r="IL413" s="64"/>
      <c r="IM413" s="64"/>
      <c r="IN413" s="64"/>
      <c r="IO413" s="64"/>
      <c r="IP413" s="64"/>
      <c r="IQ413" s="64"/>
      <c r="IR413" s="64"/>
      <c r="IS413" s="64"/>
      <c r="IT413" s="64"/>
      <c r="IU413" s="64"/>
      <c r="IV413" s="64"/>
      <c r="IW413" s="64"/>
      <c r="IX413" s="64"/>
      <c r="IY413" s="64"/>
      <c r="IZ413" s="64"/>
      <c r="JA413" s="64"/>
      <c r="JB413" s="64"/>
      <c r="JC413" s="64"/>
      <c r="JD413" s="64"/>
      <c r="JE413" s="64"/>
      <c r="JF413" s="64"/>
      <c r="JG413" s="64"/>
      <c r="JH413" s="64"/>
      <c r="JI413" s="64"/>
    </row>
    <row r="414" spans="1:269" s="920" customFormat="1" x14ac:dyDescent="0.2">
      <c r="A414" s="116"/>
      <c r="B414" s="64"/>
      <c r="C414" s="64"/>
      <c r="D414" s="64"/>
      <c r="E414" s="64"/>
      <c r="F414" s="64"/>
      <c r="G414" s="64"/>
      <c r="H414" s="64"/>
      <c r="I414" s="64"/>
      <c r="J414" s="116"/>
      <c r="K414" s="116"/>
      <c r="L414" s="116"/>
      <c r="M414" s="116"/>
      <c r="N414" s="116"/>
      <c r="O414" s="116"/>
      <c r="P414" s="116"/>
      <c r="Q414" s="102"/>
      <c r="R414" s="102"/>
      <c r="S414" s="102"/>
      <c r="T414" s="102"/>
      <c r="U414" s="913"/>
      <c r="V414" s="114"/>
      <c r="W414" s="805"/>
      <c r="X414" s="805"/>
      <c r="Y414" s="805"/>
      <c r="Z414" s="914"/>
      <c r="AA414" s="102"/>
      <c r="AB414" s="102"/>
      <c r="AC414" s="102"/>
      <c r="AD414" s="102"/>
      <c r="AE414" s="102"/>
      <c r="AF414" s="102"/>
      <c r="AG414" s="102"/>
      <c r="AH414" s="102"/>
      <c r="AI414" s="102"/>
      <c r="AJ414" s="906"/>
      <c r="AK414" s="102"/>
      <c r="AL414" s="915"/>
      <c r="AM414" s="915"/>
      <c r="AN414" s="114"/>
      <c r="AO414" s="64"/>
      <c r="AP414" s="64"/>
      <c r="AQ414" s="64"/>
      <c r="AR414" s="916"/>
      <c r="AS414" s="916"/>
      <c r="AT414" s="916"/>
      <c r="AU414" s="917"/>
      <c r="AV414" s="917"/>
      <c r="AW414" s="917"/>
      <c r="AX414" s="918"/>
      <c r="AY414" s="916"/>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917"/>
      <c r="CA414" s="917"/>
      <c r="CB414" s="64"/>
      <c r="CC414" s="919"/>
      <c r="CD414" s="919"/>
      <c r="CE414" s="64"/>
      <c r="CF414" s="528"/>
      <c r="CG414" s="529"/>
      <c r="CH414" s="64"/>
      <c r="CI414" s="64"/>
      <c r="CJ414" s="64"/>
      <c r="CK414" s="64"/>
      <c r="CL414" s="64"/>
      <c r="CM414" s="64"/>
      <c r="CN414" s="64"/>
      <c r="CO414" s="64"/>
      <c r="CP414" s="64"/>
      <c r="CQ414" s="64"/>
      <c r="CR414" s="64"/>
      <c r="CS414" s="64"/>
      <c r="CT414" s="64"/>
      <c r="CU414" s="64"/>
      <c r="CV414" s="64"/>
      <c r="CW414" s="64"/>
      <c r="CX414" s="64"/>
      <c r="CY414" s="1011"/>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c r="FC414" s="64"/>
      <c r="FD414" s="64"/>
      <c r="FE414" s="64"/>
      <c r="FF414" s="64"/>
      <c r="FG414" s="64"/>
      <c r="FH414" s="64"/>
      <c r="FI414" s="64"/>
      <c r="FJ414" s="64"/>
      <c r="FK414" s="64"/>
      <c r="FL414" s="64"/>
      <c r="FM414" s="64"/>
      <c r="FN414" s="64"/>
      <c r="FO414" s="64"/>
      <c r="FP414" s="64"/>
      <c r="FQ414" s="64"/>
      <c r="FR414" s="64"/>
      <c r="FS414" s="64"/>
      <c r="FT414" s="64"/>
      <c r="FU414" s="64"/>
      <c r="FV414" s="64"/>
      <c r="FW414" s="64"/>
      <c r="FX414" s="64"/>
      <c r="FY414" s="64"/>
      <c r="FZ414" s="64"/>
      <c r="GA414" s="64"/>
      <c r="GB414" s="64"/>
      <c r="GC414" s="64"/>
      <c r="GD414" s="64"/>
      <c r="GE414" s="64"/>
      <c r="GF414" s="64"/>
      <c r="GG414" s="64"/>
      <c r="GH414" s="64"/>
      <c r="GI414" s="64"/>
      <c r="GJ414" s="64"/>
      <c r="GK414" s="64"/>
      <c r="GL414" s="64"/>
      <c r="GM414" s="64"/>
      <c r="GN414" s="64"/>
      <c r="GO414" s="64"/>
      <c r="GP414" s="64"/>
      <c r="GQ414" s="64"/>
      <c r="GR414" s="64"/>
      <c r="GS414" s="64"/>
      <c r="GT414" s="64"/>
      <c r="GU414" s="64"/>
      <c r="GV414" s="64"/>
      <c r="GW414" s="64"/>
      <c r="GX414" s="64"/>
      <c r="GY414" s="64"/>
      <c r="GZ414" s="64"/>
      <c r="HA414" s="64"/>
      <c r="HB414" s="64"/>
      <c r="HC414" s="64"/>
      <c r="HD414" s="64"/>
      <c r="HE414" s="64"/>
      <c r="HF414" s="64"/>
      <c r="HG414" s="64"/>
      <c r="HH414" s="64"/>
      <c r="HI414" s="64"/>
      <c r="HJ414" s="64"/>
      <c r="HK414" s="64"/>
      <c r="HL414" s="64"/>
      <c r="HM414" s="64"/>
      <c r="HN414" s="64"/>
      <c r="HO414" s="64"/>
      <c r="HP414" s="64"/>
      <c r="HQ414" s="64"/>
      <c r="HR414" s="64"/>
      <c r="HS414" s="64"/>
      <c r="HT414" s="64"/>
      <c r="HU414" s="64"/>
      <c r="HV414" s="64"/>
      <c r="HW414" s="64"/>
      <c r="HX414" s="64"/>
      <c r="HY414" s="64"/>
      <c r="HZ414" s="64"/>
      <c r="IA414" s="64"/>
      <c r="IB414" s="64"/>
      <c r="IC414" s="64"/>
      <c r="ID414" s="64"/>
      <c r="IE414" s="64"/>
      <c r="IF414" s="64"/>
      <c r="IG414" s="64"/>
      <c r="IH414" s="64"/>
      <c r="II414" s="64"/>
      <c r="IJ414" s="64"/>
      <c r="IK414" s="64"/>
      <c r="IL414" s="64"/>
      <c r="IM414" s="64"/>
      <c r="IN414" s="64"/>
      <c r="IO414" s="64"/>
      <c r="IP414" s="64"/>
      <c r="IQ414" s="64"/>
      <c r="IR414" s="64"/>
      <c r="IS414" s="64"/>
      <c r="IT414" s="64"/>
      <c r="IU414" s="64"/>
      <c r="IV414" s="64"/>
      <c r="IW414" s="64"/>
      <c r="IX414" s="64"/>
      <c r="IY414" s="64"/>
      <c r="IZ414" s="64"/>
      <c r="JA414" s="64"/>
      <c r="JB414" s="64"/>
      <c r="JC414" s="64"/>
      <c r="JD414" s="64"/>
      <c r="JE414" s="64"/>
      <c r="JF414" s="64"/>
      <c r="JG414" s="64"/>
      <c r="JH414" s="64"/>
      <c r="JI414" s="64"/>
    </row>
    <row r="415" spans="1:269" s="920" customFormat="1" x14ac:dyDescent="0.2">
      <c r="A415" s="116"/>
      <c r="B415" s="64"/>
      <c r="C415" s="64"/>
      <c r="D415" s="64"/>
      <c r="E415" s="64"/>
      <c r="F415" s="64"/>
      <c r="G415" s="64"/>
      <c r="H415" s="64"/>
      <c r="I415" s="64"/>
      <c r="J415" s="116"/>
      <c r="K415" s="116"/>
      <c r="L415" s="116"/>
      <c r="M415" s="116"/>
      <c r="N415" s="116"/>
      <c r="O415" s="116"/>
      <c r="P415" s="116"/>
      <c r="Q415" s="102"/>
      <c r="R415" s="102"/>
      <c r="S415" s="102"/>
      <c r="T415" s="102"/>
      <c r="U415" s="913"/>
      <c r="V415" s="114"/>
      <c r="W415" s="805"/>
      <c r="X415" s="805"/>
      <c r="Y415" s="805"/>
      <c r="Z415" s="914"/>
      <c r="AA415" s="102"/>
      <c r="AB415" s="102"/>
      <c r="AC415" s="102"/>
      <c r="AD415" s="102"/>
      <c r="AE415" s="102"/>
      <c r="AF415" s="102"/>
      <c r="AG415" s="102"/>
      <c r="AH415" s="102"/>
      <c r="AI415" s="102"/>
      <c r="AJ415" s="906"/>
      <c r="AK415" s="102"/>
      <c r="AL415" s="915"/>
      <c r="AM415" s="915"/>
      <c r="AN415" s="114"/>
      <c r="AO415" s="64"/>
      <c r="AP415" s="64"/>
      <c r="AQ415" s="64"/>
      <c r="AR415" s="916"/>
      <c r="AS415" s="916"/>
      <c r="AT415" s="916"/>
      <c r="AU415" s="917"/>
      <c r="AV415" s="917"/>
      <c r="AW415" s="917"/>
      <c r="AX415" s="918"/>
      <c r="AY415" s="916"/>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917"/>
      <c r="CA415" s="917"/>
      <c r="CB415" s="64"/>
      <c r="CC415" s="919"/>
      <c r="CD415" s="919"/>
      <c r="CE415" s="64"/>
      <c r="CF415" s="528"/>
      <c r="CG415" s="529"/>
      <c r="CH415" s="64"/>
      <c r="CI415" s="64"/>
      <c r="CJ415" s="64"/>
      <c r="CK415" s="64"/>
      <c r="CL415" s="64"/>
      <c r="CM415" s="64"/>
      <c r="CN415" s="64"/>
      <c r="CO415" s="64"/>
      <c r="CP415" s="64"/>
      <c r="CQ415" s="64"/>
      <c r="CR415" s="64"/>
      <c r="CS415" s="64"/>
      <c r="CT415" s="64"/>
      <c r="CU415" s="64"/>
      <c r="CV415" s="64"/>
      <c r="CW415" s="64"/>
      <c r="CX415" s="64"/>
      <c r="CY415" s="1011"/>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c r="FC415" s="64"/>
      <c r="FD415" s="64"/>
      <c r="FE415" s="64"/>
      <c r="FF415" s="64"/>
      <c r="FG415" s="64"/>
      <c r="FH415" s="64"/>
      <c r="FI415" s="64"/>
      <c r="FJ415" s="64"/>
      <c r="FK415" s="64"/>
      <c r="FL415" s="64"/>
      <c r="FM415" s="64"/>
      <c r="FN415" s="64"/>
      <c r="FO415" s="64"/>
      <c r="FP415" s="64"/>
      <c r="FQ415" s="64"/>
      <c r="FR415" s="64"/>
      <c r="FS415" s="64"/>
      <c r="FT415" s="64"/>
      <c r="FU415" s="64"/>
      <c r="FV415" s="64"/>
      <c r="FW415" s="64"/>
      <c r="FX415" s="64"/>
      <c r="FY415" s="64"/>
      <c r="FZ415" s="64"/>
      <c r="GA415" s="64"/>
      <c r="GB415" s="64"/>
      <c r="GC415" s="64"/>
      <c r="GD415" s="64"/>
      <c r="GE415" s="64"/>
      <c r="GF415" s="64"/>
      <c r="GG415" s="64"/>
      <c r="GH415" s="64"/>
      <c r="GI415" s="64"/>
      <c r="GJ415" s="64"/>
      <c r="GK415" s="64"/>
      <c r="GL415" s="64"/>
      <c r="GM415" s="64"/>
      <c r="GN415" s="64"/>
      <c r="GO415" s="64"/>
      <c r="GP415" s="64"/>
      <c r="GQ415" s="64"/>
      <c r="GR415" s="64"/>
      <c r="GS415" s="64"/>
      <c r="GT415" s="64"/>
      <c r="GU415" s="64"/>
      <c r="GV415" s="64"/>
      <c r="GW415" s="64"/>
      <c r="GX415" s="64"/>
      <c r="GY415" s="64"/>
      <c r="GZ415" s="64"/>
      <c r="HA415" s="64"/>
      <c r="HB415" s="64"/>
      <c r="HC415" s="64"/>
      <c r="HD415" s="64"/>
      <c r="HE415" s="64"/>
      <c r="HF415" s="64"/>
      <c r="HG415" s="64"/>
      <c r="HH415" s="64"/>
      <c r="HI415" s="64"/>
      <c r="HJ415" s="64"/>
      <c r="HK415" s="64"/>
      <c r="HL415" s="64"/>
      <c r="HM415" s="64"/>
      <c r="HN415" s="64"/>
      <c r="HO415" s="64"/>
      <c r="HP415" s="64"/>
      <c r="HQ415" s="64"/>
      <c r="HR415" s="64"/>
      <c r="HS415" s="64"/>
      <c r="HT415" s="64"/>
      <c r="HU415" s="64"/>
      <c r="HV415" s="64"/>
      <c r="HW415" s="64"/>
      <c r="HX415" s="64"/>
      <c r="HY415" s="64"/>
      <c r="HZ415" s="64"/>
      <c r="IA415" s="64"/>
      <c r="IB415" s="64"/>
      <c r="IC415" s="64"/>
      <c r="ID415" s="64"/>
      <c r="IE415" s="64"/>
      <c r="IF415" s="64"/>
      <c r="IG415" s="64"/>
      <c r="IH415" s="64"/>
      <c r="II415" s="64"/>
      <c r="IJ415" s="64"/>
      <c r="IK415" s="64"/>
      <c r="IL415" s="64"/>
      <c r="IM415" s="64"/>
      <c r="IN415" s="64"/>
      <c r="IO415" s="64"/>
      <c r="IP415" s="64"/>
      <c r="IQ415" s="64"/>
      <c r="IR415" s="64"/>
      <c r="IS415" s="64"/>
      <c r="IT415" s="64"/>
      <c r="IU415" s="64"/>
      <c r="IV415" s="64"/>
      <c r="IW415" s="64"/>
      <c r="IX415" s="64"/>
      <c r="IY415" s="64"/>
      <c r="IZ415" s="64"/>
      <c r="JA415" s="64"/>
      <c r="JB415" s="64"/>
      <c r="JC415" s="64"/>
      <c r="JD415" s="64"/>
      <c r="JE415" s="64"/>
      <c r="JF415" s="64"/>
      <c r="JG415" s="64"/>
      <c r="JH415" s="64"/>
      <c r="JI415" s="64"/>
    </row>
    <row r="416" spans="1:269" s="920" customFormat="1" x14ac:dyDescent="0.2">
      <c r="A416" s="116"/>
      <c r="B416" s="64"/>
      <c r="C416" s="64"/>
      <c r="D416" s="64"/>
      <c r="E416" s="64"/>
      <c r="F416" s="64"/>
      <c r="G416" s="64"/>
      <c r="H416" s="64"/>
      <c r="I416" s="64"/>
      <c r="J416" s="116"/>
      <c r="K416" s="116"/>
      <c r="L416" s="116"/>
      <c r="M416" s="116"/>
      <c r="N416" s="116"/>
      <c r="O416" s="116"/>
      <c r="P416" s="116"/>
      <c r="Q416" s="102"/>
      <c r="R416" s="102"/>
      <c r="S416" s="102"/>
      <c r="T416" s="102"/>
      <c r="U416" s="913"/>
      <c r="V416" s="114"/>
      <c r="W416" s="805"/>
      <c r="X416" s="805"/>
      <c r="Y416" s="805"/>
      <c r="Z416" s="914"/>
      <c r="AA416" s="102"/>
      <c r="AB416" s="102"/>
      <c r="AC416" s="102"/>
      <c r="AD416" s="102"/>
      <c r="AE416" s="102"/>
      <c r="AF416" s="102"/>
      <c r="AG416" s="102"/>
      <c r="AH416" s="102"/>
      <c r="AI416" s="102"/>
      <c r="AJ416" s="906"/>
      <c r="AK416" s="102"/>
      <c r="AL416" s="915"/>
      <c r="AM416" s="915"/>
      <c r="AN416" s="114"/>
      <c r="AO416" s="64"/>
      <c r="AP416" s="64"/>
      <c r="AQ416" s="64"/>
      <c r="AR416" s="916"/>
      <c r="AS416" s="916"/>
      <c r="AT416" s="916"/>
      <c r="AU416" s="917"/>
      <c r="AV416" s="917"/>
      <c r="AW416" s="917"/>
      <c r="AX416" s="918"/>
      <c r="AY416" s="916"/>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917"/>
      <c r="CA416" s="917"/>
      <c r="CB416" s="64"/>
      <c r="CC416" s="919"/>
      <c r="CD416" s="919"/>
      <c r="CE416" s="64"/>
      <c r="CF416" s="528"/>
      <c r="CG416" s="529"/>
      <c r="CH416" s="64"/>
      <c r="CI416" s="64"/>
      <c r="CJ416" s="64"/>
      <c r="CK416" s="64"/>
      <c r="CL416" s="64"/>
      <c r="CM416" s="64"/>
      <c r="CN416" s="64"/>
      <c r="CO416" s="64"/>
      <c r="CP416" s="64"/>
      <c r="CQ416" s="64"/>
      <c r="CR416" s="64"/>
      <c r="CS416" s="64"/>
      <c r="CT416" s="64"/>
      <c r="CU416" s="64"/>
      <c r="CV416" s="64"/>
      <c r="CW416" s="64"/>
      <c r="CX416" s="64"/>
      <c r="CY416" s="1011"/>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c r="FC416" s="64"/>
      <c r="FD416" s="64"/>
      <c r="FE416" s="64"/>
      <c r="FF416" s="64"/>
      <c r="FG416" s="64"/>
      <c r="FH416" s="64"/>
      <c r="FI416" s="64"/>
      <c r="FJ416" s="64"/>
      <c r="FK416" s="64"/>
      <c r="FL416" s="64"/>
      <c r="FM416" s="64"/>
      <c r="FN416" s="64"/>
      <c r="FO416" s="64"/>
      <c r="FP416" s="64"/>
      <c r="FQ416" s="64"/>
      <c r="FR416" s="64"/>
      <c r="FS416" s="64"/>
      <c r="FT416" s="64"/>
      <c r="FU416" s="64"/>
      <c r="FV416" s="64"/>
      <c r="FW416" s="64"/>
      <c r="FX416" s="64"/>
      <c r="FY416" s="64"/>
      <c r="FZ416" s="64"/>
      <c r="GA416" s="64"/>
      <c r="GB416" s="64"/>
      <c r="GC416" s="64"/>
      <c r="GD416" s="64"/>
      <c r="GE416" s="64"/>
      <c r="GF416" s="64"/>
      <c r="GG416" s="64"/>
      <c r="GH416" s="64"/>
      <c r="GI416" s="64"/>
      <c r="GJ416" s="64"/>
      <c r="GK416" s="64"/>
      <c r="GL416" s="64"/>
      <c r="GM416" s="64"/>
      <c r="GN416" s="64"/>
      <c r="GO416" s="64"/>
      <c r="GP416" s="64"/>
      <c r="GQ416" s="64"/>
      <c r="GR416" s="64"/>
      <c r="GS416" s="64"/>
      <c r="GT416" s="64"/>
      <c r="GU416" s="64"/>
      <c r="GV416" s="64"/>
      <c r="GW416" s="64"/>
      <c r="GX416" s="64"/>
      <c r="GY416" s="64"/>
      <c r="GZ416" s="64"/>
      <c r="HA416" s="64"/>
      <c r="HB416" s="64"/>
      <c r="HC416" s="64"/>
      <c r="HD416" s="64"/>
      <c r="HE416" s="64"/>
      <c r="HF416" s="64"/>
      <c r="HG416" s="64"/>
      <c r="HH416" s="64"/>
      <c r="HI416" s="64"/>
      <c r="HJ416" s="64"/>
      <c r="HK416" s="64"/>
      <c r="HL416" s="64"/>
      <c r="HM416" s="64"/>
      <c r="HN416" s="64"/>
      <c r="HO416" s="64"/>
      <c r="HP416" s="64"/>
      <c r="HQ416" s="64"/>
      <c r="HR416" s="64"/>
      <c r="HS416" s="64"/>
      <c r="HT416" s="64"/>
      <c r="HU416" s="64"/>
      <c r="HV416" s="64"/>
      <c r="HW416" s="64"/>
      <c r="HX416" s="64"/>
      <c r="HY416" s="64"/>
      <c r="HZ416" s="64"/>
      <c r="IA416" s="64"/>
      <c r="IB416" s="64"/>
      <c r="IC416" s="64"/>
      <c r="ID416" s="64"/>
      <c r="IE416" s="64"/>
      <c r="IF416" s="64"/>
      <c r="IG416" s="64"/>
      <c r="IH416" s="64"/>
      <c r="II416" s="64"/>
      <c r="IJ416" s="64"/>
      <c r="IK416" s="64"/>
      <c r="IL416" s="64"/>
      <c r="IM416" s="64"/>
      <c r="IN416" s="64"/>
      <c r="IO416" s="64"/>
      <c r="IP416" s="64"/>
      <c r="IQ416" s="64"/>
      <c r="IR416" s="64"/>
      <c r="IS416" s="64"/>
      <c r="IT416" s="64"/>
      <c r="IU416" s="64"/>
      <c r="IV416" s="64"/>
      <c r="IW416" s="64"/>
      <c r="IX416" s="64"/>
      <c r="IY416" s="64"/>
      <c r="IZ416" s="64"/>
      <c r="JA416" s="64"/>
      <c r="JB416" s="64"/>
      <c r="JC416" s="64"/>
      <c r="JD416" s="64"/>
      <c r="JE416" s="64"/>
      <c r="JF416" s="64"/>
      <c r="JG416" s="64"/>
      <c r="JH416" s="64"/>
      <c r="JI416" s="64"/>
    </row>
    <row r="417" spans="1:269" s="920" customFormat="1" x14ac:dyDescent="0.2">
      <c r="A417" s="116"/>
      <c r="B417" s="64"/>
      <c r="C417" s="64"/>
      <c r="D417" s="64"/>
      <c r="E417" s="64"/>
      <c r="F417" s="64"/>
      <c r="G417" s="64"/>
      <c r="H417" s="64"/>
      <c r="I417" s="64"/>
      <c r="J417" s="116"/>
      <c r="K417" s="116"/>
      <c r="L417" s="116"/>
      <c r="M417" s="116"/>
      <c r="N417" s="116"/>
      <c r="O417" s="116"/>
      <c r="P417" s="116"/>
      <c r="Q417" s="102"/>
      <c r="R417" s="102"/>
      <c r="S417" s="102"/>
      <c r="T417" s="102"/>
      <c r="U417" s="913"/>
      <c r="V417" s="114"/>
      <c r="W417" s="805"/>
      <c r="X417" s="805"/>
      <c r="Y417" s="805"/>
      <c r="Z417" s="914"/>
      <c r="AA417" s="102"/>
      <c r="AB417" s="102"/>
      <c r="AC417" s="102"/>
      <c r="AD417" s="102"/>
      <c r="AE417" s="102"/>
      <c r="AF417" s="102"/>
      <c r="AG417" s="102"/>
      <c r="AH417" s="102"/>
      <c r="AI417" s="102"/>
      <c r="AJ417" s="906"/>
      <c r="AK417" s="102"/>
      <c r="AL417" s="915"/>
      <c r="AM417" s="915"/>
      <c r="AN417" s="114"/>
      <c r="AO417" s="64"/>
      <c r="AP417" s="64"/>
      <c r="AQ417" s="64"/>
      <c r="AR417" s="916"/>
      <c r="AS417" s="916"/>
      <c r="AT417" s="916"/>
      <c r="AU417" s="917"/>
      <c r="AV417" s="917"/>
      <c r="AW417" s="917"/>
      <c r="AX417" s="918"/>
      <c r="AY417" s="916"/>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917"/>
      <c r="CA417" s="917"/>
      <c r="CB417" s="64"/>
      <c r="CC417" s="919"/>
      <c r="CD417" s="919"/>
      <c r="CE417" s="64"/>
      <c r="CF417" s="528"/>
      <c r="CG417" s="529"/>
      <c r="CH417" s="64"/>
      <c r="CI417" s="64"/>
      <c r="CJ417" s="64"/>
      <c r="CK417" s="64"/>
      <c r="CL417" s="64"/>
      <c r="CM417" s="64"/>
      <c r="CN417" s="64"/>
      <c r="CO417" s="64"/>
      <c r="CP417" s="64"/>
      <c r="CQ417" s="64"/>
      <c r="CR417" s="64"/>
      <c r="CS417" s="64"/>
      <c r="CT417" s="64"/>
      <c r="CU417" s="64"/>
      <c r="CV417" s="64"/>
      <c r="CW417" s="64"/>
      <c r="CX417" s="64"/>
      <c r="CY417" s="1011"/>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c r="FC417" s="64"/>
      <c r="FD417" s="64"/>
      <c r="FE417" s="64"/>
      <c r="FF417" s="64"/>
      <c r="FG417" s="64"/>
      <c r="FH417" s="64"/>
      <c r="FI417" s="64"/>
      <c r="FJ417" s="64"/>
      <c r="FK417" s="64"/>
      <c r="FL417" s="64"/>
      <c r="FM417" s="64"/>
      <c r="FN417" s="64"/>
      <c r="FO417" s="64"/>
      <c r="FP417" s="64"/>
      <c r="FQ417" s="64"/>
      <c r="FR417" s="64"/>
      <c r="FS417" s="64"/>
      <c r="FT417" s="64"/>
      <c r="FU417" s="64"/>
      <c r="FV417" s="64"/>
      <c r="FW417" s="64"/>
      <c r="FX417" s="64"/>
      <c r="FY417" s="64"/>
      <c r="FZ417" s="64"/>
      <c r="GA417" s="64"/>
      <c r="GB417" s="64"/>
      <c r="GC417" s="64"/>
      <c r="GD417" s="64"/>
      <c r="GE417" s="64"/>
      <c r="GF417" s="64"/>
      <c r="GG417" s="64"/>
      <c r="GH417" s="64"/>
      <c r="GI417" s="64"/>
      <c r="GJ417" s="64"/>
      <c r="GK417" s="64"/>
      <c r="GL417" s="64"/>
      <c r="GM417" s="64"/>
      <c r="GN417" s="64"/>
      <c r="GO417" s="64"/>
      <c r="GP417" s="64"/>
      <c r="GQ417" s="64"/>
      <c r="GR417" s="64"/>
      <c r="GS417" s="64"/>
      <c r="GT417" s="64"/>
      <c r="GU417" s="64"/>
      <c r="GV417" s="64"/>
      <c r="GW417" s="64"/>
      <c r="GX417" s="64"/>
      <c r="GY417" s="64"/>
      <c r="GZ417" s="64"/>
      <c r="HA417" s="64"/>
      <c r="HB417" s="64"/>
      <c r="HC417" s="64"/>
      <c r="HD417" s="64"/>
      <c r="HE417" s="64"/>
      <c r="HF417" s="64"/>
      <c r="HG417" s="64"/>
      <c r="HH417" s="64"/>
      <c r="HI417" s="64"/>
      <c r="HJ417" s="64"/>
      <c r="HK417" s="64"/>
      <c r="HL417" s="64"/>
      <c r="HM417" s="64"/>
      <c r="HN417" s="64"/>
      <c r="HO417" s="64"/>
      <c r="HP417" s="64"/>
      <c r="HQ417" s="64"/>
      <c r="HR417" s="64"/>
      <c r="HS417" s="64"/>
      <c r="HT417" s="64"/>
      <c r="HU417" s="64"/>
      <c r="HV417" s="64"/>
      <c r="HW417" s="64"/>
      <c r="HX417" s="64"/>
      <c r="HY417" s="64"/>
      <c r="HZ417" s="64"/>
      <c r="IA417" s="64"/>
      <c r="IB417" s="64"/>
      <c r="IC417" s="64"/>
      <c r="ID417" s="64"/>
      <c r="IE417" s="64"/>
      <c r="IF417" s="64"/>
      <c r="IG417" s="64"/>
      <c r="IH417" s="64"/>
      <c r="II417" s="64"/>
      <c r="IJ417" s="64"/>
      <c r="IK417" s="64"/>
      <c r="IL417" s="64"/>
      <c r="IM417" s="64"/>
      <c r="IN417" s="64"/>
      <c r="IO417" s="64"/>
      <c r="IP417" s="64"/>
      <c r="IQ417" s="64"/>
      <c r="IR417" s="64"/>
      <c r="IS417" s="64"/>
      <c r="IT417" s="64"/>
      <c r="IU417" s="64"/>
      <c r="IV417" s="64"/>
      <c r="IW417" s="64"/>
      <c r="IX417" s="64"/>
      <c r="IY417" s="64"/>
      <c r="IZ417" s="64"/>
      <c r="JA417" s="64"/>
      <c r="JB417" s="64"/>
      <c r="JC417" s="64"/>
      <c r="JD417" s="64"/>
      <c r="JE417" s="64"/>
      <c r="JF417" s="64"/>
      <c r="JG417" s="64"/>
      <c r="JH417" s="64"/>
      <c r="JI417" s="64"/>
    </row>
    <row r="418" spans="1:269" s="920" customFormat="1" x14ac:dyDescent="0.2">
      <c r="A418" s="116"/>
      <c r="B418" s="64"/>
      <c r="C418" s="64"/>
      <c r="D418" s="64"/>
      <c r="E418" s="64"/>
      <c r="F418" s="64"/>
      <c r="G418" s="64"/>
      <c r="H418" s="64"/>
      <c r="I418" s="64"/>
      <c r="J418" s="116"/>
      <c r="K418" s="116"/>
      <c r="L418" s="116"/>
      <c r="M418" s="116"/>
      <c r="N418" s="116"/>
      <c r="O418" s="116"/>
      <c r="P418" s="116"/>
      <c r="Q418" s="102"/>
      <c r="R418" s="102"/>
      <c r="S418" s="102"/>
      <c r="T418" s="102"/>
      <c r="U418" s="913"/>
      <c r="V418" s="114"/>
      <c r="W418" s="805"/>
      <c r="X418" s="805"/>
      <c r="Y418" s="805"/>
      <c r="Z418" s="914"/>
      <c r="AA418" s="102"/>
      <c r="AB418" s="102"/>
      <c r="AC418" s="102"/>
      <c r="AD418" s="102"/>
      <c r="AE418" s="102"/>
      <c r="AF418" s="102"/>
      <c r="AG418" s="102"/>
      <c r="AH418" s="102"/>
      <c r="AI418" s="102"/>
      <c r="AJ418" s="906"/>
      <c r="AK418" s="102"/>
      <c r="AL418" s="915"/>
      <c r="AM418" s="915"/>
      <c r="AN418" s="114"/>
      <c r="AO418" s="64"/>
      <c r="AP418" s="64"/>
      <c r="AQ418" s="64"/>
      <c r="AR418" s="916"/>
      <c r="AS418" s="916"/>
      <c r="AT418" s="916"/>
      <c r="AU418" s="917"/>
      <c r="AV418" s="917"/>
      <c r="AW418" s="917"/>
      <c r="AX418" s="918"/>
      <c r="AY418" s="916"/>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917"/>
      <c r="CA418" s="917"/>
      <c r="CB418" s="64"/>
      <c r="CC418" s="919"/>
      <c r="CD418" s="919"/>
      <c r="CE418" s="64"/>
      <c r="CF418" s="528"/>
      <c r="CG418" s="529"/>
      <c r="CH418" s="64"/>
      <c r="CI418" s="64"/>
      <c r="CJ418" s="64"/>
      <c r="CK418" s="64"/>
      <c r="CL418" s="64"/>
      <c r="CM418" s="64"/>
      <c r="CN418" s="64"/>
      <c r="CO418" s="64"/>
      <c r="CP418" s="64"/>
      <c r="CQ418" s="64"/>
      <c r="CR418" s="64"/>
      <c r="CS418" s="64"/>
      <c r="CT418" s="64"/>
      <c r="CU418" s="64"/>
      <c r="CV418" s="64"/>
      <c r="CW418" s="64"/>
      <c r="CX418" s="64"/>
      <c r="CY418" s="1011"/>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c r="FC418" s="64"/>
      <c r="FD418" s="64"/>
      <c r="FE418" s="64"/>
      <c r="FF418" s="64"/>
      <c r="FG418" s="64"/>
      <c r="FH418" s="64"/>
      <c r="FI418" s="64"/>
      <c r="FJ418" s="64"/>
      <c r="FK418" s="64"/>
      <c r="FL418" s="64"/>
      <c r="FM418" s="64"/>
      <c r="FN418" s="64"/>
      <c r="FO418" s="64"/>
      <c r="FP418" s="64"/>
      <c r="FQ418" s="64"/>
      <c r="FR418" s="64"/>
      <c r="FS418" s="64"/>
      <c r="FT418" s="64"/>
      <c r="FU418" s="64"/>
      <c r="FV418" s="64"/>
      <c r="FW418" s="64"/>
      <c r="FX418" s="64"/>
      <c r="FY418" s="64"/>
      <c r="FZ418" s="64"/>
      <c r="GA418" s="64"/>
      <c r="GB418" s="64"/>
      <c r="GC418" s="64"/>
      <c r="GD418" s="64"/>
      <c r="GE418" s="64"/>
      <c r="GF418" s="64"/>
      <c r="GG418" s="64"/>
      <c r="GH418" s="64"/>
      <c r="GI418" s="64"/>
      <c r="GJ418" s="64"/>
      <c r="GK418" s="64"/>
      <c r="GL418" s="64"/>
      <c r="GM418" s="64"/>
      <c r="GN418" s="64"/>
      <c r="GO418" s="64"/>
      <c r="GP418" s="64"/>
      <c r="GQ418" s="64"/>
      <c r="GR418" s="64"/>
      <c r="GS418" s="64"/>
      <c r="GT418" s="64"/>
      <c r="GU418" s="64"/>
      <c r="GV418" s="64"/>
      <c r="GW418" s="64"/>
      <c r="GX418" s="64"/>
      <c r="GY418" s="64"/>
      <c r="GZ418" s="64"/>
      <c r="HA418" s="64"/>
      <c r="HB418" s="64"/>
      <c r="HC418" s="64"/>
      <c r="HD418" s="64"/>
      <c r="HE418" s="64"/>
      <c r="HF418" s="64"/>
      <c r="HG418" s="64"/>
      <c r="HH418" s="64"/>
      <c r="HI418" s="64"/>
      <c r="HJ418" s="64"/>
      <c r="HK418" s="64"/>
      <c r="HL418" s="64"/>
      <c r="HM418" s="64"/>
      <c r="HN418" s="64"/>
      <c r="HO418" s="64"/>
      <c r="HP418" s="64"/>
      <c r="HQ418" s="64"/>
      <c r="HR418" s="64"/>
      <c r="HS418" s="64"/>
      <c r="HT418" s="64"/>
      <c r="HU418" s="64"/>
      <c r="HV418" s="64"/>
      <c r="HW418" s="64"/>
      <c r="HX418" s="64"/>
      <c r="HY418" s="64"/>
      <c r="HZ418" s="64"/>
      <c r="IA418" s="64"/>
      <c r="IB418" s="64"/>
      <c r="IC418" s="64"/>
      <c r="ID418" s="64"/>
      <c r="IE418" s="64"/>
      <c r="IF418" s="64"/>
      <c r="IG418" s="64"/>
      <c r="IH418" s="64"/>
      <c r="II418" s="64"/>
      <c r="IJ418" s="64"/>
      <c r="IK418" s="64"/>
      <c r="IL418" s="64"/>
      <c r="IM418" s="64"/>
      <c r="IN418" s="64"/>
      <c r="IO418" s="64"/>
      <c r="IP418" s="64"/>
      <c r="IQ418" s="64"/>
      <c r="IR418" s="64"/>
      <c r="IS418" s="64"/>
      <c r="IT418" s="64"/>
      <c r="IU418" s="64"/>
      <c r="IV418" s="64"/>
      <c r="IW418" s="64"/>
      <c r="IX418" s="64"/>
      <c r="IY418" s="64"/>
      <c r="IZ418" s="64"/>
      <c r="JA418" s="64"/>
      <c r="JB418" s="64"/>
      <c r="JC418" s="64"/>
      <c r="JD418" s="64"/>
      <c r="JE418" s="64"/>
      <c r="JF418" s="64"/>
      <c r="JG418" s="64"/>
      <c r="JH418" s="64"/>
      <c r="JI418" s="64"/>
    </row>
    <row r="419" spans="1:269" s="920" customFormat="1" x14ac:dyDescent="0.2">
      <c r="A419" s="116"/>
      <c r="B419" s="64"/>
      <c r="C419" s="64"/>
      <c r="D419" s="64"/>
      <c r="E419" s="64"/>
      <c r="F419" s="64"/>
      <c r="G419" s="64"/>
      <c r="H419" s="64"/>
      <c r="I419" s="64"/>
      <c r="J419" s="116"/>
      <c r="K419" s="116"/>
      <c r="L419" s="116"/>
      <c r="M419" s="116"/>
      <c r="N419" s="116"/>
      <c r="O419" s="116"/>
      <c r="P419" s="116"/>
      <c r="Q419" s="102"/>
      <c r="R419" s="102"/>
      <c r="S419" s="102"/>
      <c r="T419" s="102"/>
      <c r="U419" s="913"/>
      <c r="V419" s="114"/>
      <c r="W419" s="805"/>
      <c r="X419" s="805"/>
      <c r="Y419" s="805"/>
      <c r="Z419" s="914"/>
      <c r="AA419" s="102"/>
      <c r="AB419" s="102"/>
      <c r="AC419" s="102"/>
      <c r="AD419" s="102"/>
      <c r="AE419" s="102"/>
      <c r="AF419" s="102"/>
      <c r="AG419" s="102"/>
      <c r="AH419" s="102"/>
      <c r="AI419" s="102"/>
      <c r="AJ419" s="906"/>
      <c r="AK419" s="102"/>
      <c r="AL419" s="915"/>
      <c r="AM419" s="915"/>
      <c r="AN419" s="114"/>
      <c r="AO419" s="64"/>
      <c r="AP419" s="64"/>
      <c r="AQ419" s="64"/>
      <c r="AR419" s="916"/>
      <c r="AS419" s="916"/>
      <c r="AT419" s="916"/>
      <c r="AU419" s="917"/>
      <c r="AV419" s="917"/>
      <c r="AW419" s="917"/>
      <c r="AX419" s="918"/>
      <c r="AY419" s="916"/>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917"/>
      <c r="CA419" s="917"/>
      <c r="CB419" s="64"/>
      <c r="CC419" s="919"/>
      <c r="CD419" s="919"/>
      <c r="CE419" s="64"/>
      <c r="CF419" s="528"/>
      <c r="CG419" s="529"/>
      <c r="CH419" s="64"/>
      <c r="CI419" s="64"/>
      <c r="CJ419" s="64"/>
      <c r="CK419" s="64"/>
      <c r="CL419" s="64"/>
      <c r="CM419" s="64"/>
      <c r="CN419" s="64"/>
      <c r="CO419" s="64"/>
      <c r="CP419" s="64"/>
      <c r="CQ419" s="64"/>
      <c r="CR419" s="64"/>
      <c r="CS419" s="64"/>
      <c r="CT419" s="64"/>
      <c r="CU419" s="64"/>
      <c r="CV419" s="64"/>
      <c r="CW419" s="64"/>
      <c r="CX419" s="64"/>
      <c r="CY419" s="1011"/>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c r="FC419" s="64"/>
      <c r="FD419" s="64"/>
      <c r="FE419" s="64"/>
      <c r="FF419" s="64"/>
      <c r="FG419" s="64"/>
      <c r="FH419" s="64"/>
      <c r="FI419" s="64"/>
      <c r="FJ419" s="64"/>
      <c r="FK419" s="64"/>
      <c r="FL419" s="64"/>
      <c r="FM419" s="64"/>
      <c r="FN419" s="64"/>
      <c r="FO419" s="64"/>
      <c r="FP419" s="64"/>
      <c r="FQ419" s="64"/>
      <c r="FR419" s="64"/>
      <c r="FS419" s="64"/>
      <c r="FT419" s="64"/>
      <c r="FU419" s="64"/>
      <c r="FV419" s="64"/>
      <c r="FW419" s="64"/>
      <c r="FX419" s="64"/>
      <c r="FY419" s="64"/>
      <c r="FZ419" s="64"/>
      <c r="GA419" s="64"/>
      <c r="GB419" s="64"/>
      <c r="GC419" s="64"/>
      <c r="GD419" s="64"/>
      <c r="GE419" s="64"/>
      <c r="GF419" s="64"/>
      <c r="GG419" s="64"/>
      <c r="GH419" s="64"/>
      <c r="GI419" s="64"/>
      <c r="GJ419" s="64"/>
      <c r="GK419" s="64"/>
      <c r="GL419" s="64"/>
      <c r="GM419" s="64"/>
      <c r="GN419" s="64"/>
      <c r="GO419" s="64"/>
      <c r="GP419" s="64"/>
      <c r="GQ419" s="64"/>
      <c r="GR419" s="64"/>
      <c r="GS419" s="64"/>
      <c r="GT419" s="64"/>
      <c r="GU419" s="64"/>
      <c r="GV419" s="64"/>
      <c r="GW419" s="64"/>
      <c r="GX419" s="64"/>
      <c r="GY419" s="64"/>
      <c r="GZ419" s="64"/>
      <c r="HA419" s="64"/>
      <c r="HB419" s="64"/>
      <c r="HC419" s="64"/>
      <c r="HD419" s="64"/>
      <c r="HE419" s="64"/>
      <c r="HF419" s="64"/>
      <c r="HG419" s="64"/>
      <c r="HH419" s="64"/>
      <c r="HI419" s="64"/>
      <c r="HJ419" s="64"/>
      <c r="HK419" s="64"/>
      <c r="HL419" s="64"/>
      <c r="HM419" s="64"/>
      <c r="HN419" s="64"/>
      <c r="HO419" s="64"/>
      <c r="HP419" s="64"/>
      <c r="HQ419" s="64"/>
      <c r="HR419" s="64"/>
      <c r="HS419" s="64"/>
      <c r="HT419" s="64"/>
      <c r="HU419" s="64"/>
      <c r="HV419" s="64"/>
      <c r="HW419" s="64"/>
      <c r="HX419" s="64"/>
      <c r="HY419" s="64"/>
      <c r="HZ419" s="64"/>
      <c r="IA419" s="64"/>
      <c r="IB419" s="64"/>
      <c r="IC419" s="64"/>
      <c r="ID419" s="64"/>
      <c r="IE419" s="64"/>
      <c r="IF419" s="64"/>
      <c r="IG419" s="64"/>
      <c r="IH419" s="64"/>
      <c r="II419" s="64"/>
      <c r="IJ419" s="64"/>
      <c r="IK419" s="64"/>
      <c r="IL419" s="64"/>
      <c r="IM419" s="64"/>
      <c r="IN419" s="64"/>
      <c r="IO419" s="64"/>
      <c r="IP419" s="64"/>
      <c r="IQ419" s="64"/>
      <c r="IR419" s="64"/>
      <c r="IS419" s="64"/>
      <c r="IT419" s="64"/>
      <c r="IU419" s="64"/>
      <c r="IV419" s="64"/>
      <c r="IW419" s="64"/>
      <c r="IX419" s="64"/>
      <c r="IY419" s="64"/>
      <c r="IZ419" s="64"/>
      <c r="JA419" s="64"/>
      <c r="JB419" s="64"/>
      <c r="JC419" s="64"/>
      <c r="JD419" s="64"/>
      <c r="JE419" s="64"/>
      <c r="JF419" s="64"/>
      <c r="JG419" s="64"/>
      <c r="JH419" s="64"/>
      <c r="JI419" s="64"/>
    </row>
    <row r="420" spans="1:269" s="920" customFormat="1" x14ac:dyDescent="0.2">
      <c r="A420" s="116"/>
      <c r="B420" s="64"/>
      <c r="C420" s="64"/>
      <c r="D420" s="64"/>
      <c r="E420" s="64"/>
      <c r="F420" s="64"/>
      <c r="G420" s="64"/>
      <c r="H420" s="64"/>
      <c r="I420" s="64"/>
      <c r="J420" s="116"/>
      <c r="K420" s="116"/>
      <c r="L420" s="116"/>
      <c r="M420" s="116"/>
      <c r="N420" s="116"/>
      <c r="O420" s="116"/>
      <c r="P420" s="116"/>
      <c r="Q420" s="102"/>
      <c r="R420" s="102"/>
      <c r="S420" s="102"/>
      <c r="T420" s="102"/>
      <c r="U420" s="913"/>
      <c r="V420" s="114"/>
      <c r="W420" s="805"/>
      <c r="X420" s="805"/>
      <c r="Y420" s="805"/>
      <c r="Z420" s="914"/>
      <c r="AA420" s="102"/>
      <c r="AB420" s="102"/>
      <c r="AC420" s="102"/>
      <c r="AD420" s="102"/>
      <c r="AE420" s="102"/>
      <c r="AF420" s="102"/>
      <c r="AG420" s="102"/>
      <c r="AH420" s="102"/>
      <c r="AI420" s="102"/>
      <c r="AJ420" s="906"/>
      <c r="AK420" s="102"/>
      <c r="AL420" s="915"/>
      <c r="AM420" s="915"/>
      <c r="AN420" s="114"/>
      <c r="AO420" s="64"/>
      <c r="AP420" s="64"/>
      <c r="AQ420" s="64"/>
      <c r="AR420" s="916"/>
      <c r="AS420" s="916"/>
      <c r="AT420" s="916"/>
      <c r="AU420" s="917"/>
      <c r="AV420" s="917"/>
      <c r="AW420" s="917"/>
      <c r="AX420" s="918"/>
      <c r="AY420" s="916"/>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917"/>
      <c r="CA420" s="917"/>
      <c r="CB420" s="64"/>
      <c r="CC420" s="919"/>
      <c r="CD420" s="919"/>
      <c r="CE420" s="64"/>
      <c r="CF420" s="528"/>
      <c r="CG420" s="529"/>
      <c r="CH420" s="64"/>
      <c r="CI420" s="64"/>
      <c r="CJ420" s="64"/>
      <c r="CK420" s="64"/>
      <c r="CL420" s="64"/>
      <c r="CM420" s="64"/>
      <c r="CN420" s="64"/>
      <c r="CO420" s="64"/>
      <c r="CP420" s="64"/>
      <c r="CQ420" s="64"/>
      <c r="CR420" s="64"/>
      <c r="CS420" s="64"/>
      <c r="CT420" s="64"/>
      <c r="CU420" s="64"/>
      <c r="CV420" s="64"/>
      <c r="CW420" s="64"/>
      <c r="CX420" s="64"/>
      <c r="CY420" s="1011"/>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c r="FC420" s="64"/>
      <c r="FD420" s="64"/>
      <c r="FE420" s="64"/>
      <c r="FF420" s="64"/>
      <c r="FG420" s="64"/>
      <c r="FH420" s="64"/>
      <c r="FI420" s="64"/>
      <c r="FJ420" s="64"/>
      <c r="FK420" s="64"/>
      <c r="FL420" s="64"/>
      <c r="FM420" s="64"/>
      <c r="FN420" s="64"/>
      <c r="FO420" s="64"/>
      <c r="FP420" s="64"/>
      <c r="FQ420" s="64"/>
      <c r="FR420" s="64"/>
      <c r="FS420" s="64"/>
      <c r="FT420" s="64"/>
      <c r="FU420" s="64"/>
      <c r="FV420" s="64"/>
      <c r="FW420" s="64"/>
      <c r="FX420" s="64"/>
      <c r="FY420" s="64"/>
      <c r="FZ420" s="64"/>
      <c r="GA420" s="64"/>
      <c r="GB420" s="64"/>
      <c r="GC420" s="64"/>
      <c r="GD420" s="64"/>
      <c r="GE420" s="64"/>
      <c r="GF420" s="64"/>
      <c r="GG420" s="64"/>
      <c r="GH420" s="64"/>
      <c r="GI420" s="64"/>
      <c r="GJ420" s="64"/>
      <c r="GK420" s="64"/>
      <c r="GL420" s="64"/>
      <c r="GM420" s="64"/>
      <c r="GN420" s="64"/>
      <c r="GO420" s="64"/>
      <c r="GP420" s="64"/>
      <c r="GQ420" s="64"/>
      <c r="GR420" s="64"/>
      <c r="GS420" s="64"/>
      <c r="GT420" s="64"/>
      <c r="GU420" s="64"/>
      <c r="GV420" s="64"/>
      <c r="GW420" s="64"/>
      <c r="GX420" s="64"/>
      <c r="GY420" s="64"/>
      <c r="GZ420" s="64"/>
      <c r="HA420" s="64"/>
      <c r="HB420" s="64"/>
      <c r="HC420" s="64"/>
      <c r="HD420" s="64"/>
      <c r="HE420" s="64"/>
      <c r="HF420" s="64"/>
      <c r="HG420" s="64"/>
      <c r="HH420" s="64"/>
      <c r="HI420" s="64"/>
      <c r="HJ420" s="64"/>
      <c r="HK420" s="64"/>
      <c r="HL420" s="64"/>
      <c r="HM420" s="64"/>
      <c r="HN420" s="64"/>
      <c r="HO420" s="64"/>
      <c r="HP420" s="64"/>
      <c r="HQ420" s="64"/>
      <c r="HR420" s="64"/>
      <c r="HS420" s="64"/>
      <c r="HT420" s="64"/>
      <c r="HU420" s="64"/>
      <c r="HV420" s="64"/>
      <c r="HW420" s="64"/>
      <c r="HX420" s="64"/>
      <c r="HY420" s="64"/>
      <c r="HZ420" s="64"/>
      <c r="IA420" s="64"/>
      <c r="IB420" s="64"/>
      <c r="IC420" s="64"/>
      <c r="ID420" s="64"/>
      <c r="IE420" s="64"/>
      <c r="IF420" s="64"/>
      <c r="IG420" s="64"/>
      <c r="IH420" s="64"/>
      <c r="II420" s="64"/>
      <c r="IJ420" s="64"/>
      <c r="IK420" s="64"/>
      <c r="IL420" s="64"/>
      <c r="IM420" s="64"/>
      <c r="IN420" s="64"/>
      <c r="IO420" s="64"/>
      <c r="IP420" s="64"/>
      <c r="IQ420" s="64"/>
      <c r="IR420" s="64"/>
      <c r="IS420" s="64"/>
      <c r="IT420" s="64"/>
      <c r="IU420" s="64"/>
      <c r="IV420" s="64"/>
      <c r="IW420" s="64"/>
      <c r="IX420" s="64"/>
      <c r="IY420" s="64"/>
      <c r="IZ420" s="64"/>
      <c r="JA420" s="64"/>
      <c r="JB420" s="64"/>
      <c r="JC420" s="64"/>
      <c r="JD420" s="64"/>
      <c r="JE420" s="64"/>
      <c r="JF420" s="64"/>
      <c r="JG420" s="64"/>
      <c r="JH420" s="64"/>
      <c r="JI420" s="64"/>
    </row>
    <row r="421" spans="1:269" s="920" customFormat="1" x14ac:dyDescent="0.2">
      <c r="A421" s="116"/>
      <c r="B421" s="64"/>
      <c r="C421" s="64"/>
      <c r="D421" s="64"/>
      <c r="E421" s="64"/>
      <c r="F421" s="64"/>
      <c r="G421" s="64"/>
      <c r="H421" s="64"/>
      <c r="I421" s="64"/>
      <c r="J421" s="116"/>
      <c r="K421" s="116"/>
      <c r="L421" s="116"/>
      <c r="M421" s="116"/>
      <c r="N421" s="116"/>
      <c r="O421" s="116"/>
      <c r="P421" s="116"/>
      <c r="Q421" s="102"/>
      <c r="R421" s="102"/>
      <c r="S421" s="102"/>
      <c r="T421" s="102"/>
      <c r="U421" s="913"/>
      <c r="V421" s="114"/>
      <c r="W421" s="805"/>
      <c r="X421" s="805"/>
      <c r="Y421" s="805"/>
      <c r="Z421" s="914"/>
      <c r="AA421" s="102"/>
      <c r="AB421" s="102"/>
      <c r="AC421" s="102"/>
      <c r="AD421" s="102"/>
      <c r="AE421" s="102"/>
      <c r="AF421" s="102"/>
      <c r="AG421" s="102"/>
      <c r="AH421" s="102"/>
      <c r="AI421" s="102"/>
      <c r="AJ421" s="906"/>
      <c r="AK421" s="102"/>
      <c r="AL421" s="915"/>
      <c r="AM421" s="915"/>
      <c r="AN421" s="114"/>
      <c r="AO421" s="64"/>
      <c r="AP421" s="64"/>
      <c r="AQ421" s="64"/>
      <c r="AR421" s="916"/>
      <c r="AS421" s="916"/>
      <c r="AT421" s="916"/>
      <c r="AU421" s="917"/>
      <c r="AV421" s="917"/>
      <c r="AW421" s="917"/>
      <c r="AX421" s="918"/>
      <c r="AY421" s="916"/>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917"/>
      <c r="CA421" s="917"/>
      <c r="CB421" s="64"/>
      <c r="CC421" s="919"/>
      <c r="CD421" s="919"/>
      <c r="CE421" s="64"/>
      <c r="CF421" s="528"/>
      <c r="CG421" s="529"/>
      <c r="CH421" s="64"/>
      <c r="CI421" s="64"/>
      <c r="CJ421" s="64"/>
      <c r="CK421" s="64"/>
      <c r="CL421" s="64"/>
      <c r="CM421" s="64"/>
      <c r="CN421" s="64"/>
      <c r="CO421" s="64"/>
      <c r="CP421" s="64"/>
      <c r="CQ421" s="64"/>
      <c r="CR421" s="64"/>
      <c r="CS421" s="64"/>
      <c r="CT421" s="64"/>
      <c r="CU421" s="64"/>
      <c r="CV421" s="64"/>
      <c r="CW421" s="64"/>
      <c r="CX421" s="64"/>
      <c r="CY421" s="1011"/>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c r="FC421" s="64"/>
      <c r="FD421" s="64"/>
      <c r="FE421" s="64"/>
      <c r="FF421" s="64"/>
      <c r="FG421" s="64"/>
      <c r="FH421" s="64"/>
      <c r="FI421" s="64"/>
      <c r="FJ421" s="64"/>
      <c r="FK421" s="64"/>
      <c r="FL421" s="64"/>
      <c r="FM421" s="64"/>
      <c r="FN421" s="64"/>
      <c r="FO421" s="64"/>
      <c r="FP421" s="64"/>
      <c r="FQ421" s="64"/>
      <c r="FR421" s="64"/>
      <c r="FS421" s="64"/>
      <c r="FT421" s="64"/>
      <c r="FU421" s="64"/>
      <c r="FV421" s="64"/>
      <c r="FW421" s="64"/>
      <c r="FX421" s="64"/>
      <c r="FY421" s="64"/>
      <c r="FZ421" s="64"/>
      <c r="GA421" s="64"/>
      <c r="GB421" s="64"/>
      <c r="GC421" s="64"/>
      <c r="GD421" s="64"/>
      <c r="GE421" s="64"/>
      <c r="GF421" s="64"/>
      <c r="GG421" s="64"/>
      <c r="GH421" s="64"/>
      <c r="GI421" s="64"/>
      <c r="GJ421" s="64"/>
      <c r="GK421" s="64"/>
      <c r="GL421" s="64"/>
      <c r="GM421" s="64"/>
      <c r="GN421" s="64"/>
      <c r="GO421" s="64"/>
      <c r="GP421" s="64"/>
      <c r="GQ421" s="64"/>
      <c r="GR421" s="64"/>
      <c r="GS421" s="64"/>
      <c r="GT421" s="64"/>
      <c r="GU421" s="64"/>
      <c r="GV421" s="64"/>
      <c r="GW421" s="64"/>
      <c r="GX421" s="64"/>
      <c r="GY421" s="64"/>
      <c r="GZ421" s="64"/>
      <c r="HA421" s="64"/>
      <c r="HB421" s="64"/>
      <c r="HC421" s="64"/>
      <c r="HD421" s="64"/>
      <c r="HE421" s="64"/>
      <c r="HF421" s="64"/>
      <c r="HG421" s="64"/>
      <c r="HH421" s="64"/>
      <c r="HI421" s="64"/>
      <c r="HJ421" s="64"/>
      <c r="HK421" s="64"/>
      <c r="HL421" s="64"/>
      <c r="HM421" s="64"/>
      <c r="HN421" s="64"/>
      <c r="HO421" s="64"/>
      <c r="HP421" s="64"/>
      <c r="HQ421" s="64"/>
      <c r="HR421" s="64"/>
      <c r="HS421" s="64"/>
      <c r="HT421" s="64"/>
      <c r="HU421" s="64"/>
      <c r="HV421" s="64"/>
      <c r="HW421" s="64"/>
      <c r="HX421" s="64"/>
      <c r="HY421" s="64"/>
      <c r="HZ421" s="64"/>
      <c r="IA421" s="64"/>
      <c r="IB421" s="64"/>
      <c r="IC421" s="64"/>
      <c r="ID421" s="64"/>
      <c r="IE421" s="64"/>
      <c r="IF421" s="64"/>
      <c r="IG421" s="64"/>
      <c r="IH421" s="64"/>
      <c r="II421" s="64"/>
      <c r="IJ421" s="64"/>
      <c r="IK421" s="64"/>
      <c r="IL421" s="64"/>
      <c r="IM421" s="64"/>
      <c r="IN421" s="64"/>
      <c r="IO421" s="64"/>
      <c r="IP421" s="64"/>
      <c r="IQ421" s="64"/>
      <c r="IR421" s="64"/>
      <c r="IS421" s="64"/>
      <c r="IT421" s="64"/>
      <c r="IU421" s="64"/>
      <c r="IV421" s="64"/>
      <c r="IW421" s="64"/>
      <c r="IX421" s="64"/>
      <c r="IY421" s="64"/>
      <c r="IZ421" s="64"/>
      <c r="JA421" s="64"/>
      <c r="JB421" s="64"/>
      <c r="JC421" s="64"/>
      <c r="JD421" s="64"/>
      <c r="JE421" s="64"/>
      <c r="JF421" s="64"/>
      <c r="JG421" s="64"/>
      <c r="JH421" s="64"/>
      <c r="JI421" s="64"/>
    </row>
    <row r="422" spans="1:269" s="920" customFormat="1" x14ac:dyDescent="0.2">
      <c r="A422" s="116"/>
      <c r="B422" s="64"/>
      <c r="C422" s="64"/>
      <c r="D422" s="64"/>
      <c r="E422" s="64"/>
      <c r="F422" s="64"/>
      <c r="G422" s="64"/>
      <c r="H422" s="64"/>
      <c r="I422" s="64"/>
      <c r="J422" s="116"/>
      <c r="K422" s="116"/>
      <c r="L422" s="116"/>
      <c r="M422" s="116"/>
      <c r="N422" s="116"/>
      <c r="O422" s="116"/>
      <c r="P422" s="116"/>
      <c r="Q422" s="102"/>
      <c r="R422" s="102"/>
      <c r="S422" s="102"/>
      <c r="T422" s="102"/>
      <c r="U422" s="913"/>
      <c r="V422" s="114"/>
      <c r="W422" s="805"/>
      <c r="X422" s="805"/>
      <c r="Y422" s="805"/>
      <c r="Z422" s="914"/>
      <c r="AA422" s="102"/>
      <c r="AB422" s="102"/>
      <c r="AC422" s="102"/>
      <c r="AD422" s="102"/>
      <c r="AE422" s="102"/>
      <c r="AF422" s="102"/>
      <c r="AG422" s="102"/>
      <c r="AH422" s="102"/>
      <c r="AI422" s="102"/>
      <c r="AJ422" s="906"/>
      <c r="AK422" s="102"/>
      <c r="AL422" s="915"/>
      <c r="AM422" s="915"/>
      <c r="AN422" s="114"/>
      <c r="AO422" s="64"/>
      <c r="AP422" s="64"/>
      <c r="AQ422" s="64"/>
      <c r="AR422" s="916"/>
      <c r="AS422" s="916"/>
      <c r="AT422" s="916"/>
      <c r="AU422" s="917"/>
      <c r="AV422" s="917"/>
      <c r="AW422" s="917"/>
      <c r="AX422" s="918"/>
      <c r="AY422" s="916"/>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917"/>
      <c r="CA422" s="917"/>
      <c r="CB422" s="64"/>
      <c r="CC422" s="919"/>
      <c r="CD422" s="919"/>
      <c r="CE422" s="64"/>
      <c r="CF422" s="528"/>
      <c r="CG422" s="529"/>
      <c r="CH422" s="64"/>
      <c r="CI422" s="64"/>
      <c r="CJ422" s="64"/>
      <c r="CK422" s="64"/>
      <c r="CL422" s="64"/>
      <c r="CM422" s="64"/>
      <c r="CN422" s="64"/>
      <c r="CO422" s="64"/>
      <c r="CP422" s="64"/>
      <c r="CQ422" s="64"/>
      <c r="CR422" s="64"/>
      <c r="CS422" s="64"/>
      <c r="CT422" s="64"/>
      <c r="CU422" s="64"/>
      <c r="CV422" s="64"/>
      <c r="CW422" s="64"/>
      <c r="CX422" s="64"/>
      <c r="CY422" s="1011"/>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c r="FC422" s="64"/>
      <c r="FD422" s="64"/>
      <c r="FE422" s="64"/>
      <c r="FF422" s="64"/>
      <c r="FG422" s="64"/>
      <c r="FH422" s="64"/>
      <c r="FI422" s="64"/>
      <c r="FJ422" s="64"/>
      <c r="FK422" s="64"/>
      <c r="FL422" s="64"/>
      <c r="FM422" s="64"/>
      <c r="FN422" s="64"/>
      <c r="FO422" s="64"/>
      <c r="FP422" s="64"/>
      <c r="FQ422" s="64"/>
      <c r="FR422" s="64"/>
      <c r="FS422" s="64"/>
      <c r="FT422" s="64"/>
      <c r="FU422" s="64"/>
      <c r="FV422" s="64"/>
      <c r="FW422" s="64"/>
      <c r="FX422" s="64"/>
      <c r="FY422" s="64"/>
      <c r="FZ422" s="64"/>
      <c r="GA422" s="64"/>
      <c r="GB422" s="64"/>
      <c r="GC422" s="64"/>
      <c r="GD422" s="64"/>
      <c r="GE422" s="64"/>
      <c r="GF422" s="64"/>
      <c r="GG422" s="64"/>
      <c r="GH422" s="64"/>
      <c r="GI422" s="64"/>
      <c r="GJ422" s="64"/>
      <c r="GK422" s="64"/>
      <c r="GL422" s="64"/>
      <c r="GM422" s="64"/>
      <c r="GN422" s="64"/>
      <c r="GO422" s="64"/>
      <c r="GP422" s="64"/>
      <c r="GQ422" s="64"/>
      <c r="GR422" s="64"/>
      <c r="GS422" s="64"/>
      <c r="GT422" s="64"/>
      <c r="GU422" s="64"/>
      <c r="GV422" s="64"/>
      <c r="GW422" s="64"/>
      <c r="GX422" s="64"/>
      <c r="GY422" s="64"/>
      <c r="GZ422" s="64"/>
      <c r="HA422" s="64"/>
      <c r="HB422" s="64"/>
      <c r="HC422" s="64"/>
      <c r="HD422" s="64"/>
      <c r="HE422" s="64"/>
      <c r="HF422" s="64"/>
      <c r="HG422" s="64"/>
      <c r="HH422" s="64"/>
      <c r="HI422" s="64"/>
      <c r="HJ422" s="64"/>
      <c r="HK422" s="64"/>
      <c r="HL422" s="64"/>
      <c r="HM422" s="64"/>
      <c r="HN422" s="64"/>
      <c r="HO422" s="64"/>
      <c r="HP422" s="64"/>
      <c r="HQ422" s="64"/>
      <c r="HR422" s="64"/>
      <c r="HS422" s="64"/>
      <c r="HT422" s="64"/>
      <c r="HU422" s="64"/>
      <c r="HV422" s="64"/>
      <c r="HW422" s="64"/>
      <c r="HX422" s="64"/>
      <c r="HY422" s="64"/>
      <c r="HZ422" s="64"/>
      <c r="IA422" s="64"/>
      <c r="IB422" s="64"/>
      <c r="IC422" s="64"/>
      <c r="ID422" s="64"/>
      <c r="IE422" s="64"/>
      <c r="IF422" s="64"/>
      <c r="IG422" s="64"/>
      <c r="IH422" s="64"/>
      <c r="II422" s="64"/>
      <c r="IJ422" s="64"/>
      <c r="IK422" s="64"/>
      <c r="IL422" s="64"/>
      <c r="IM422" s="64"/>
      <c r="IN422" s="64"/>
      <c r="IO422" s="64"/>
      <c r="IP422" s="64"/>
      <c r="IQ422" s="64"/>
      <c r="IR422" s="64"/>
      <c r="IS422" s="64"/>
      <c r="IT422" s="64"/>
      <c r="IU422" s="64"/>
      <c r="IV422" s="64"/>
      <c r="IW422" s="64"/>
      <c r="IX422" s="64"/>
      <c r="IY422" s="64"/>
      <c r="IZ422" s="64"/>
      <c r="JA422" s="64"/>
      <c r="JB422" s="64"/>
      <c r="JC422" s="64"/>
      <c r="JD422" s="64"/>
      <c r="JE422" s="64"/>
      <c r="JF422" s="64"/>
      <c r="JG422" s="64"/>
      <c r="JH422" s="64"/>
      <c r="JI422" s="64"/>
    </row>
    <row r="423" spans="1:269" s="920" customFormat="1" x14ac:dyDescent="0.2">
      <c r="A423" s="116"/>
      <c r="B423" s="64"/>
      <c r="C423" s="64"/>
      <c r="D423" s="64"/>
      <c r="E423" s="64"/>
      <c r="F423" s="64"/>
      <c r="G423" s="64"/>
      <c r="H423" s="64"/>
      <c r="I423" s="64"/>
      <c r="J423" s="116"/>
      <c r="K423" s="116"/>
      <c r="L423" s="116"/>
      <c r="M423" s="116"/>
      <c r="N423" s="116"/>
      <c r="O423" s="116"/>
      <c r="P423" s="116"/>
      <c r="Q423" s="102"/>
      <c r="R423" s="102"/>
      <c r="S423" s="102"/>
      <c r="T423" s="102"/>
      <c r="U423" s="913"/>
      <c r="V423" s="114"/>
      <c r="W423" s="805"/>
      <c r="X423" s="805"/>
      <c r="Y423" s="805"/>
      <c r="Z423" s="914"/>
      <c r="AA423" s="102"/>
      <c r="AB423" s="102"/>
      <c r="AC423" s="102"/>
      <c r="AD423" s="102"/>
      <c r="AE423" s="102"/>
      <c r="AF423" s="102"/>
      <c r="AG423" s="102"/>
      <c r="AH423" s="102"/>
      <c r="AI423" s="102"/>
      <c r="AJ423" s="906"/>
      <c r="AK423" s="102"/>
      <c r="AL423" s="915"/>
      <c r="AM423" s="915"/>
      <c r="AN423" s="114"/>
      <c r="AO423" s="64"/>
      <c r="AP423" s="64"/>
      <c r="AQ423" s="64"/>
      <c r="AR423" s="916"/>
      <c r="AS423" s="916"/>
      <c r="AT423" s="916"/>
      <c r="AU423" s="917"/>
      <c r="AV423" s="917"/>
      <c r="AW423" s="917"/>
      <c r="AX423" s="918"/>
      <c r="AY423" s="916"/>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917"/>
      <c r="CA423" s="917"/>
      <c r="CB423" s="64"/>
      <c r="CC423" s="919"/>
      <c r="CD423" s="919"/>
      <c r="CE423" s="64"/>
      <c r="CF423" s="528"/>
      <c r="CG423" s="529"/>
      <c r="CH423" s="64"/>
      <c r="CI423" s="64"/>
      <c r="CJ423" s="64"/>
      <c r="CK423" s="64"/>
      <c r="CL423" s="64"/>
      <c r="CM423" s="64"/>
      <c r="CN423" s="64"/>
      <c r="CO423" s="64"/>
      <c r="CP423" s="64"/>
      <c r="CQ423" s="64"/>
      <c r="CR423" s="64"/>
      <c r="CS423" s="64"/>
      <c r="CT423" s="64"/>
      <c r="CU423" s="64"/>
      <c r="CV423" s="64"/>
      <c r="CW423" s="64"/>
      <c r="CX423" s="64"/>
      <c r="CY423" s="1011"/>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c r="FC423" s="64"/>
      <c r="FD423" s="64"/>
      <c r="FE423" s="64"/>
      <c r="FF423" s="64"/>
      <c r="FG423" s="64"/>
      <c r="FH423" s="64"/>
      <c r="FI423" s="64"/>
      <c r="FJ423" s="64"/>
      <c r="FK423" s="64"/>
      <c r="FL423" s="64"/>
      <c r="FM423" s="64"/>
      <c r="FN423" s="64"/>
      <c r="FO423" s="64"/>
      <c r="FP423" s="64"/>
      <c r="FQ423" s="64"/>
      <c r="FR423" s="64"/>
      <c r="FS423" s="64"/>
      <c r="FT423" s="64"/>
      <c r="FU423" s="64"/>
      <c r="FV423" s="64"/>
      <c r="FW423" s="64"/>
      <c r="FX423" s="64"/>
      <c r="FY423" s="64"/>
      <c r="FZ423" s="64"/>
      <c r="GA423" s="64"/>
      <c r="GB423" s="64"/>
      <c r="GC423" s="64"/>
      <c r="GD423" s="64"/>
      <c r="GE423" s="64"/>
      <c r="GF423" s="64"/>
      <c r="GG423" s="64"/>
      <c r="GH423" s="64"/>
      <c r="GI423" s="64"/>
      <c r="GJ423" s="64"/>
      <c r="GK423" s="64"/>
      <c r="GL423" s="64"/>
      <c r="GM423" s="64"/>
      <c r="GN423" s="64"/>
      <c r="GO423" s="64"/>
      <c r="GP423" s="64"/>
      <c r="GQ423" s="64"/>
      <c r="GR423" s="64"/>
      <c r="GS423" s="64"/>
      <c r="GT423" s="64"/>
      <c r="GU423" s="64"/>
      <c r="GV423" s="64"/>
      <c r="GW423" s="64"/>
      <c r="GX423" s="64"/>
      <c r="GY423" s="64"/>
      <c r="GZ423" s="64"/>
      <c r="HA423" s="64"/>
      <c r="HB423" s="64"/>
      <c r="HC423" s="64"/>
      <c r="HD423" s="64"/>
      <c r="HE423" s="64"/>
      <c r="HF423" s="64"/>
      <c r="HG423" s="64"/>
      <c r="HH423" s="64"/>
      <c r="HI423" s="64"/>
      <c r="HJ423" s="64"/>
      <c r="HK423" s="64"/>
      <c r="HL423" s="64"/>
      <c r="HM423" s="64"/>
      <c r="HN423" s="64"/>
      <c r="HO423" s="64"/>
      <c r="HP423" s="64"/>
      <c r="HQ423" s="64"/>
      <c r="HR423" s="64"/>
      <c r="HS423" s="64"/>
      <c r="HT423" s="64"/>
      <c r="HU423" s="64"/>
      <c r="HV423" s="64"/>
      <c r="HW423" s="64"/>
      <c r="HX423" s="64"/>
      <c r="HY423" s="64"/>
      <c r="HZ423" s="64"/>
      <c r="IA423" s="64"/>
      <c r="IB423" s="64"/>
      <c r="IC423" s="64"/>
      <c r="ID423" s="64"/>
      <c r="IE423" s="64"/>
      <c r="IF423" s="64"/>
      <c r="IG423" s="64"/>
      <c r="IH423" s="64"/>
      <c r="II423" s="64"/>
      <c r="IJ423" s="64"/>
      <c r="IK423" s="64"/>
      <c r="IL423" s="64"/>
      <c r="IM423" s="64"/>
      <c r="IN423" s="64"/>
      <c r="IO423" s="64"/>
      <c r="IP423" s="64"/>
      <c r="IQ423" s="64"/>
      <c r="IR423" s="64"/>
      <c r="IS423" s="64"/>
      <c r="IT423" s="64"/>
      <c r="IU423" s="64"/>
      <c r="IV423" s="64"/>
      <c r="IW423" s="64"/>
      <c r="IX423" s="64"/>
      <c r="IY423" s="64"/>
      <c r="IZ423" s="64"/>
      <c r="JA423" s="64"/>
      <c r="JB423" s="64"/>
      <c r="JC423" s="64"/>
      <c r="JD423" s="64"/>
      <c r="JE423" s="64"/>
      <c r="JF423" s="64"/>
      <c r="JG423" s="64"/>
      <c r="JH423" s="64"/>
      <c r="JI423" s="64"/>
    </row>
    <row r="424" spans="1:269" s="920" customFormat="1" x14ac:dyDescent="0.2">
      <c r="A424" s="116"/>
      <c r="B424" s="64"/>
      <c r="C424" s="64"/>
      <c r="D424" s="64"/>
      <c r="E424" s="64"/>
      <c r="F424" s="64"/>
      <c r="G424" s="64"/>
      <c r="H424" s="64"/>
      <c r="I424" s="64"/>
      <c r="J424" s="116"/>
      <c r="K424" s="116"/>
      <c r="L424" s="116"/>
      <c r="M424" s="116"/>
      <c r="N424" s="116"/>
      <c r="O424" s="116"/>
      <c r="P424" s="116"/>
      <c r="Q424" s="102"/>
      <c r="R424" s="102"/>
      <c r="S424" s="102"/>
      <c r="T424" s="102"/>
      <c r="U424" s="913"/>
      <c r="V424" s="114"/>
      <c r="W424" s="805"/>
      <c r="X424" s="805"/>
      <c r="Y424" s="805"/>
      <c r="Z424" s="914"/>
      <c r="AA424" s="102"/>
      <c r="AB424" s="102"/>
      <c r="AC424" s="102"/>
      <c r="AD424" s="102"/>
      <c r="AE424" s="102"/>
      <c r="AF424" s="102"/>
      <c r="AG424" s="102"/>
      <c r="AH424" s="102"/>
      <c r="AI424" s="102"/>
      <c r="AJ424" s="906"/>
      <c r="AK424" s="102"/>
      <c r="AL424" s="915"/>
      <c r="AM424" s="915"/>
      <c r="AN424" s="114"/>
      <c r="AO424" s="64"/>
      <c r="AP424" s="64"/>
      <c r="AQ424" s="64"/>
      <c r="AR424" s="916"/>
      <c r="AS424" s="916"/>
      <c r="AT424" s="916"/>
      <c r="AU424" s="917"/>
      <c r="AV424" s="917"/>
      <c r="AW424" s="917"/>
      <c r="AX424" s="918"/>
      <c r="AY424" s="916"/>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917"/>
      <c r="CA424" s="917"/>
      <c r="CB424" s="64"/>
      <c r="CC424" s="919"/>
      <c r="CD424" s="919"/>
      <c r="CE424" s="64"/>
      <c r="CF424" s="528"/>
      <c r="CG424" s="529"/>
      <c r="CH424" s="64"/>
      <c r="CI424" s="64"/>
      <c r="CJ424" s="64"/>
      <c r="CK424" s="64"/>
      <c r="CL424" s="64"/>
      <c r="CM424" s="64"/>
      <c r="CN424" s="64"/>
      <c r="CO424" s="64"/>
      <c r="CP424" s="64"/>
      <c r="CQ424" s="64"/>
      <c r="CR424" s="64"/>
      <c r="CS424" s="64"/>
      <c r="CT424" s="64"/>
      <c r="CU424" s="64"/>
      <c r="CV424" s="64"/>
      <c r="CW424" s="64"/>
      <c r="CX424" s="64"/>
      <c r="CY424" s="1011"/>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c r="FC424" s="64"/>
      <c r="FD424" s="64"/>
      <c r="FE424" s="64"/>
      <c r="FF424" s="64"/>
      <c r="FG424" s="64"/>
      <c r="FH424" s="64"/>
      <c r="FI424" s="64"/>
      <c r="FJ424" s="64"/>
      <c r="FK424" s="64"/>
      <c r="FL424" s="64"/>
      <c r="FM424" s="64"/>
      <c r="FN424" s="64"/>
      <c r="FO424" s="64"/>
      <c r="FP424" s="64"/>
      <c r="FQ424" s="64"/>
      <c r="FR424" s="64"/>
      <c r="FS424" s="64"/>
      <c r="FT424" s="64"/>
      <c r="FU424" s="64"/>
      <c r="FV424" s="64"/>
      <c r="FW424" s="64"/>
      <c r="FX424" s="64"/>
      <c r="FY424" s="64"/>
      <c r="FZ424" s="64"/>
      <c r="GA424" s="64"/>
      <c r="GB424" s="64"/>
      <c r="GC424" s="64"/>
      <c r="GD424" s="64"/>
      <c r="GE424" s="64"/>
      <c r="GF424" s="64"/>
      <c r="GG424" s="64"/>
      <c r="GH424" s="64"/>
      <c r="GI424" s="64"/>
      <c r="GJ424" s="64"/>
      <c r="GK424" s="64"/>
      <c r="GL424" s="64"/>
      <c r="GM424" s="64"/>
      <c r="GN424" s="64"/>
      <c r="GO424" s="64"/>
      <c r="GP424" s="64"/>
      <c r="GQ424" s="64"/>
      <c r="GR424" s="64"/>
      <c r="GS424" s="64"/>
      <c r="GT424" s="64"/>
      <c r="GU424" s="64"/>
      <c r="GV424" s="64"/>
      <c r="GW424" s="64"/>
      <c r="GX424" s="64"/>
      <c r="GY424" s="64"/>
      <c r="GZ424" s="64"/>
      <c r="HA424" s="64"/>
      <c r="HB424" s="64"/>
      <c r="HC424" s="64"/>
      <c r="HD424" s="64"/>
      <c r="HE424" s="64"/>
      <c r="HF424" s="64"/>
      <c r="HG424" s="64"/>
      <c r="HH424" s="64"/>
      <c r="HI424" s="64"/>
      <c r="HJ424" s="64"/>
      <c r="HK424" s="64"/>
      <c r="HL424" s="64"/>
      <c r="HM424" s="64"/>
      <c r="HN424" s="64"/>
      <c r="HO424" s="64"/>
      <c r="HP424" s="64"/>
      <c r="HQ424" s="64"/>
      <c r="HR424" s="64"/>
      <c r="HS424" s="64"/>
      <c r="HT424" s="64"/>
      <c r="HU424" s="64"/>
      <c r="HV424" s="64"/>
      <c r="HW424" s="64"/>
      <c r="HX424" s="64"/>
      <c r="HY424" s="64"/>
      <c r="HZ424" s="64"/>
      <c r="IA424" s="64"/>
      <c r="IB424" s="64"/>
      <c r="IC424" s="64"/>
      <c r="ID424" s="64"/>
      <c r="IE424" s="64"/>
      <c r="IF424" s="64"/>
      <c r="IG424" s="64"/>
      <c r="IH424" s="64"/>
      <c r="II424" s="64"/>
      <c r="IJ424" s="64"/>
      <c r="IK424" s="64"/>
      <c r="IL424" s="64"/>
      <c r="IM424" s="64"/>
      <c r="IN424" s="64"/>
      <c r="IO424" s="64"/>
      <c r="IP424" s="64"/>
      <c r="IQ424" s="64"/>
      <c r="IR424" s="64"/>
      <c r="IS424" s="64"/>
      <c r="IT424" s="64"/>
      <c r="IU424" s="64"/>
      <c r="IV424" s="64"/>
      <c r="IW424" s="64"/>
      <c r="IX424" s="64"/>
      <c r="IY424" s="64"/>
      <c r="IZ424" s="64"/>
      <c r="JA424" s="64"/>
      <c r="JB424" s="64"/>
      <c r="JC424" s="64"/>
      <c r="JD424" s="64"/>
      <c r="JE424" s="64"/>
      <c r="JF424" s="64"/>
      <c r="JG424" s="64"/>
      <c r="JH424" s="64"/>
      <c r="JI424" s="64"/>
    </row>
    <row r="425" spans="1:269" s="920" customFormat="1" x14ac:dyDescent="0.2">
      <c r="A425" s="116"/>
      <c r="B425" s="64"/>
      <c r="C425" s="64"/>
      <c r="D425" s="64"/>
      <c r="E425" s="64"/>
      <c r="F425" s="64"/>
      <c r="G425" s="64"/>
      <c r="H425" s="64"/>
      <c r="I425" s="64"/>
      <c r="J425" s="116"/>
      <c r="K425" s="116"/>
      <c r="L425" s="116"/>
      <c r="M425" s="116"/>
      <c r="N425" s="116"/>
      <c r="O425" s="116"/>
      <c r="P425" s="116"/>
      <c r="Q425" s="102"/>
      <c r="R425" s="102"/>
      <c r="S425" s="102"/>
      <c r="T425" s="102"/>
      <c r="U425" s="913"/>
      <c r="V425" s="114"/>
      <c r="W425" s="805"/>
      <c r="X425" s="805"/>
      <c r="Y425" s="805"/>
      <c r="Z425" s="914"/>
      <c r="AA425" s="102"/>
      <c r="AB425" s="102"/>
      <c r="AC425" s="102"/>
      <c r="AD425" s="102"/>
      <c r="AE425" s="102"/>
      <c r="AF425" s="102"/>
      <c r="AG425" s="102"/>
      <c r="AH425" s="102"/>
      <c r="AI425" s="102"/>
      <c r="AJ425" s="906"/>
      <c r="AK425" s="102"/>
      <c r="AL425" s="915"/>
      <c r="AM425" s="915"/>
      <c r="AN425" s="114"/>
      <c r="AO425" s="64"/>
      <c r="AP425" s="64"/>
      <c r="AQ425" s="64"/>
      <c r="AR425" s="916"/>
      <c r="AS425" s="916"/>
      <c r="AT425" s="916"/>
      <c r="AU425" s="917"/>
      <c r="AV425" s="917"/>
      <c r="AW425" s="917"/>
      <c r="AX425" s="918"/>
      <c r="AY425" s="916"/>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917"/>
      <c r="CA425" s="917"/>
      <c r="CB425" s="64"/>
      <c r="CC425" s="919"/>
      <c r="CD425" s="919"/>
      <c r="CE425" s="64"/>
      <c r="CF425" s="528"/>
      <c r="CG425" s="529"/>
      <c r="CH425" s="64"/>
      <c r="CI425" s="64"/>
      <c r="CJ425" s="64"/>
      <c r="CK425" s="64"/>
      <c r="CL425" s="64"/>
      <c r="CM425" s="64"/>
      <c r="CN425" s="64"/>
      <c r="CO425" s="64"/>
      <c r="CP425" s="64"/>
      <c r="CQ425" s="64"/>
      <c r="CR425" s="64"/>
      <c r="CS425" s="64"/>
      <c r="CT425" s="64"/>
      <c r="CU425" s="64"/>
      <c r="CV425" s="64"/>
      <c r="CW425" s="64"/>
      <c r="CX425" s="64"/>
      <c r="CY425" s="1011"/>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c r="FC425" s="64"/>
      <c r="FD425" s="64"/>
      <c r="FE425" s="64"/>
      <c r="FF425" s="64"/>
      <c r="FG425" s="64"/>
      <c r="FH425" s="64"/>
      <c r="FI425" s="64"/>
      <c r="FJ425" s="64"/>
      <c r="FK425" s="64"/>
      <c r="FL425" s="64"/>
      <c r="FM425" s="64"/>
      <c r="FN425" s="64"/>
      <c r="FO425" s="64"/>
      <c r="FP425" s="64"/>
      <c r="FQ425" s="64"/>
      <c r="FR425" s="64"/>
      <c r="FS425" s="64"/>
      <c r="FT425" s="64"/>
      <c r="FU425" s="64"/>
      <c r="FV425" s="64"/>
      <c r="FW425" s="64"/>
      <c r="FX425" s="64"/>
      <c r="FY425" s="64"/>
      <c r="FZ425" s="64"/>
      <c r="GA425" s="64"/>
      <c r="GB425" s="64"/>
      <c r="GC425" s="64"/>
      <c r="GD425" s="64"/>
      <c r="GE425" s="64"/>
      <c r="GF425" s="64"/>
      <c r="GG425" s="64"/>
      <c r="GH425" s="64"/>
      <c r="GI425" s="64"/>
      <c r="GJ425" s="64"/>
      <c r="GK425" s="64"/>
      <c r="GL425" s="64"/>
      <c r="GM425" s="64"/>
      <c r="GN425" s="64"/>
      <c r="GO425" s="64"/>
      <c r="GP425" s="64"/>
      <c r="GQ425" s="64"/>
      <c r="GR425" s="64"/>
      <c r="GS425" s="64"/>
      <c r="GT425" s="64"/>
      <c r="GU425" s="64"/>
      <c r="GV425" s="64"/>
      <c r="GW425" s="64"/>
      <c r="GX425" s="64"/>
      <c r="GY425" s="64"/>
      <c r="GZ425" s="64"/>
      <c r="HA425" s="64"/>
      <c r="HB425" s="64"/>
      <c r="HC425" s="64"/>
      <c r="HD425" s="64"/>
      <c r="HE425" s="64"/>
      <c r="HF425" s="64"/>
      <c r="HG425" s="64"/>
      <c r="HH425" s="64"/>
      <c r="HI425" s="64"/>
      <c r="HJ425" s="64"/>
      <c r="HK425" s="64"/>
      <c r="HL425" s="64"/>
      <c r="HM425" s="64"/>
      <c r="HN425" s="64"/>
      <c r="HO425" s="64"/>
      <c r="HP425" s="64"/>
      <c r="HQ425" s="64"/>
      <c r="HR425" s="64"/>
      <c r="HS425" s="64"/>
      <c r="HT425" s="64"/>
      <c r="HU425" s="64"/>
      <c r="HV425" s="64"/>
      <c r="HW425" s="64"/>
      <c r="HX425" s="64"/>
      <c r="HY425" s="64"/>
      <c r="HZ425" s="64"/>
      <c r="IA425" s="64"/>
      <c r="IB425" s="64"/>
      <c r="IC425" s="64"/>
      <c r="ID425" s="64"/>
      <c r="IE425" s="64"/>
      <c r="IF425" s="64"/>
      <c r="IG425" s="64"/>
      <c r="IH425" s="64"/>
      <c r="II425" s="64"/>
      <c r="IJ425" s="64"/>
      <c r="IK425" s="64"/>
      <c r="IL425" s="64"/>
      <c r="IM425" s="64"/>
      <c r="IN425" s="64"/>
      <c r="IO425" s="64"/>
      <c r="IP425" s="64"/>
      <c r="IQ425" s="64"/>
      <c r="IR425" s="64"/>
      <c r="IS425" s="64"/>
      <c r="IT425" s="64"/>
      <c r="IU425" s="64"/>
      <c r="IV425" s="64"/>
      <c r="IW425" s="64"/>
      <c r="IX425" s="64"/>
      <c r="IY425" s="64"/>
      <c r="IZ425" s="64"/>
      <c r="JA425" s="64"/>
      <c r="JB425" s="64"/>
      <c r="JC425" s="64"/>
      <c r="JD425" s="64"/>
      <c r="JE425" s="64"/>
      <c r="JF425" s="64"/>
      <c r="JG425" s="64"/>
      <c r="JH425" s="64"/>
      <c r="JI425" s="64"/>
    </row>
    <row r="426" spans="1:269" s="920" customFormat="1" x14ac:dyDescent="0.2">
      <c r="A426" s="116"/>
      <c r="B426" s="64"/>
      <c r="C426" s="64"/>
      <c r="D426" s="64"/>
      <c r="E426" s="64"/>
      <c r="F426" s="64"/>
      <c r="G426" s="64"/>
      <c r="H426" s="64"/>
      <c r="I426" s="64"/>
      <c r="J426" s="116"/>
      <c r="K426" s="116"/>
      <c r="L426" s="116"/>
      <c r="M426" s="116"/>
      <c r="N426" s="116"/>
      <c r="O426" s="116"/>
      <c r="P426" s="116"/>
      <c r="Q426" s="102"/>
      <c r="R426" s="102"/>
      <c r="S426" s="102"/>
      <c r="T426" s="102"/>
      <c r="U426" s="913"/>
      <c r="V426" s="114"/>
      <c r="W426" s="805"/>
      <c r="X426" s="805"/>
      <c r="Y426" s="805"/>
      <c r="Z426" s="914"/>
      <c r="AA426" s="102"/>
      <c r="AB426" s="102"/>
      <c r="AC426" s="102"/>
      <c r="AD426" s="102"/>
      <c r="AE426" s="102"/>
      <c r="AF426" s="102"/>
      <c r="AG426" s="102"/>
      <c r="AH426" s="102"/>
      <c r="AI426" s="102"/>
      <c r="AJ426" s="906"/>
      <c r="AK426" s="102"/>
      <c r="AL426" s="915"/>
      <c r="AM426" s="915"/>
      <c r="AN426" s="114"/>
      <c r="AO426" s="64"/>
      <c r="AP426" s="64"/>
      <c r="AQ426" s="64"/>
      <c r="AR426" s="916"/>
      <c r="AS426" s="916"/>
      <c r="AT426" s="916"/>
      <c r="AU426" s="917"/>
      <c r="AV426" s="917"/>
      <c r="AW426" s="917"/>
      <c r="AX426" s="918"/>
      <c r="AY426" s="916"/>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917"/>
      <c r="CA426" s="917"/>
      <c r="CB426" s="64"/>
      <c r="CC426" s="919"/>
      <c r="CD426" s="919"/>
      <c r="CE426" s="64"/>
      <c r="CF426" s="528"/>
      <c r="CG426" s="529"/>
      <c r="CH426" s="64"/>
      <c r="CI426" s="64"/>
      <c r="CJ426" s="64"/>
      <c r="CK426" s="64"/>
      <c r="CL426" s="64"/>
      <c r="CM426" s="64"/>
      <c r="CN426" s="64"/>
      <c r="CO426" s="64"/>
      <c r="CP426" s="64"/>
      <c r="CQ426" s="64"/>
      <c r="CR426" s="64"/>
      <c r="CS426" s="64"/>
      <c r="CT426" s="64"/>
      <c r="CU426" s="64"/>
      <c r="CV426" s="64"/>
      <c r="CW426" s="64"/>
      <c r="CX426" s="64"/>
      <c r="CY426" s="1011"/>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c r="FC426" s="64"/>
      <c r="FD426" s="64"/>
      <c r="FE426" s="64"/>
      <c r="FF426" s="64"/>
      <c r="FG426" s="64"/>
      <c r="FH426" s="64"/>
      <c r="FI426" s="64"/>
      <c r="FJ426" s="64"/>
      <c r="FK426" s="64"/>
      <c r="FL426" s="64"/>
      <c r="FM426" s="64"/>
      <c r="FN426" s="64"/>
      <c r="FO426" s="64"/>
      <c r="FP426" s="64"/>
      <c r="FQ426" s="64"/>
      <c r="FR426" s="64"/>
      <c r="FS426" s="64"/>
      <c r="FT426" s="64"/>
      <c r="FU426" s="64"/>
      <c r="FV426" s="64"/>
      <c r="FW426" s="64"/>
      <c r="FX426" s="64"/>
      <c r="FY426" s="64"/>
      <c r="FZ426" s="64"/>
      <c r="GA426" s="64"/>
      <c r="GB426" s="64"/>
      <c r="GC426" s="64"/>
      <c r="GD426" s="64"/>
      <c r="GE426" s="64"/>
      <c r="GF426" s="64"/>
      <c r="GG426" s="64"/>
      <c r="GH426" s="64"/>
      <c r="GI426" s="64"/>
      <c r="GJ426" s="64"/>
      <c r="GK426" s="64"/>
      <c r="GL426" s="64"/>
      <c r="GM426" s="64"/>
      <c r="GN426" s="64"/>
      <c r="GO426" s="64"/>
      <c r="GP426" s="64"/>
      <c r="GQ426" s="64"/>
      <c r="GR426" s="64"/>
      <c r="GS426" s="64"/>
      <c r="GT426" s="64"/>
      <c r="GU426" s="64"/>
      <c r="GV426" s="64"/>
      <c r="GW426" s="64"/>
      <c r="GX426" s="64"/>
      <c r="GY426" s="64"/>
      <c r="GZ426" s="64"/>
      <c r="HA426" s="64"/>
      <c r="HB426" s="64"/>
      <c r="HC426" s="64"/>
      <c r="HD426" s="64"/>
      <c r="HE426" s="64"/>
      <c r="HF426" s="64"/>
      <c r="HG426" s="64"/>
      <c r="HH426" s="64"/>
      <c r="HI426" s="64"/>
      <c r="HJ426" s="64"/>
      <c r="HK426" s="64"/>
      <c r="HL426" s="64"/>
      <c r="HM426" s="64"/>
      <c r="HN426" s="64"/>
      <c r="HO426" s="64"/>
      <c r="HP426" s="64"/>
      <c r="HQ426" s="64"/>
      <c r="HR426" s="64"/>
      <c r="HS426" s="64"/>
      <c r="HT426" s="64"/>
      <c r="HU426" s="64"/>
      <c r="HV426" s="64"/>
      <c r="HW426" s="64"/>
      <c r="HX426" s="64"/>
      <c r="HY426" s="64"/>
      <c r="HZ426" s="64"/>
      <c r="IA426" s="64"/>
      <c r="IB426" s="64"/>
      <c r="IC426" s="64"/>
      <c r="ID426" s="64"/>
      <c r="IE426" s="64"/>
      <c r="IF426" s="64"/>
      <c r="IG426" s="64"/>
      <c r="IH426" s="64"/>
      <c r="II426" s="64"/>
      <c r="IJ426" s="64"/>
      <c r="IK426" s="64"/>
      <c r="IL426" s="64"/>
      <c r="IM426" s="64"/>
      <c r="IN426" s="64"/>
      <c r="IO426" s="64"/>
      <c r="IP426" s="64"/>
      <c r="IQ426" s="64"/>
      <c r="IR426" s="64"/>
      <c r="IS426" s="64"/>
      <c r="IT426" s="64"/>
      <c r="IU426" s="64"/>
      <c r="IV426" s="64"/>
      <c r="IW426" s="64"/>
      <c r="IX426" s="64"/>
      <c r="IY426" s="64"/>
      <c r="IZ426" s="64"/>
      <c r="JA426" s="64"/>
      <c r="JB426" s="64"/>
      <c r="JC426" s="64"/>
      <c r="JD426" s="64"/>
      <c r="JE426" s="64"/>
      <c r="JF426" s="64"/>
      <c r="JG426" s="64"/>
      <c r="JH426" s="64"/>
      <c r="JI426" s="64"/>
    </row>
    <row r="427" spans="1:269" s="920" customFormat="1" x14ac:dyDescent="0.2">
      <c r="A427" s="116"/>
      <c r="B427" s="64"/>
      <c r="C427" s="64"/>
      <c r="D427" s="64"/>
      <c r="E427" s="64"/>
      <c r="F427" s="64"/>
      <c r="G427" s="64"/>
      <c r="H427" s="64"/>
      <c r="I427" s="64"/>
      <c r="J427" s="116"/>
      <c r="K427" s="116"/>
      <c r="L427" s="116"/>
      <c r="M427" s="116"/>
      <c r="N427" s="116"/>
      <c r="O427" s="116"/>
      <c r="P427" s="116"/>
      <c r="Q427" s="102"/>
      <c r="R427" s="102"/>
      <c r="S427" s="102"/>
      <c r="T427" s="102"/>
      <c r="U427" s="913"/>
      <c r="V427" s="114"/>
      <c r="W427" s="805"/>
      <c r="X427" s="805"/>
      <c r="Y427" s="805"/>
      <c r="Z427" s="914"/>
      <c r="AA427" s="102"/>
      <c r="AB427" s="102"/>
      <c r="AC427" s="102"/>
      <c r="AD427" s="102"/>
      <c r="AE427" s="102"/>
      <c r="AF427" s="102"/>
      <c r="AG427" s="102"/>
      <c r="AH427" s="102"/>
      <c r="AI427" s="102"/>
      <c r="AJ427" s="906"/>
      <c r="AK427" s="102"/>
      <c r="AL427" s="915"/>
      <c r="AM427" s="915"/>
      <c r="AN427" s="114"/>
      <c r="AO427" s="64"/>
      <c r="AP427" s="64"/>
      <c r="AQ427" s="64"/>
      <c r="AR427" s="916"/>
      <c r="AS427" s="916"/>
      <c r="AT427" s="916"/>
      <c r="AU427" s="917"/>
      <c r="AV427" s="917"/>
      <c r="AW427" s="917"/>
      <c r="AX427" s="918"/>
      <c r="AY427" s="916"/>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917"/>
      <c r="CA427" s="917"/>
      <c r="CB427" s="64"/>
      <c r="CC427" s="919"/>
      <c r="CD427" s="919"/>
      <c r="CE427" s="64"/>
      <c r="CF427" s="528"/>
      <c r="CG427" s="529"/>
      <c r="CH427" s="64"/>
      <c r="CI427" s="64"/>
      <c r="CJ427" s="64"/>
      <c r="CK427" s="64"/>
      <c r="CL427" s="64"/>
      <c r="CM427" s="64"/>
      <c r="CN427" s="64"/>
      <c r="CO427" s="64"/>
      <c r="CP427" s="64"/>
      <c r="CQ427" s="64"/>
      <c r="CR427" s="64"/>
      <c r="CS427" s="64"/>
      <c r="CT427" s="64"/>
      <c r="CU427" s="64"/>
      <c r="CV427" s="64"/>
      <c r="CW427" s="64"/>
      <c r="CX427" s="64"/>
      <c r="CY427" s="1011"/>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c r="FC427" s="64"/>
      <c r="FD427" s="64"/>
      <c r="FE427" s="64"/>
      <c r="FF427" s="64"/>
      <c r="FG427" s="64"/>
      <c r="FH427" s="64"/>
      <c r="FI427" s="64"/>
      <c r="FJ427" s="64"/>
      <c r="FK427" s="64"/>
      <c r="FL427" s="64"/>
      <c r="FM427" s="64"/>
      <c r="FN427" s="64"/>
      <c r="FO427" s="64"/>
      <c r="FP427" s="64"/>
      <c r="FQ427" s="64"/>
      <c r="FR427" s="64"/>
      <c r="FS427" s="64"/>
      <c r="FT427" s="64"/>
      <c r="FU427" s="64"/>
      <c r="FV427" s="64"/>
      <c r="FW427" s="64"/>
      <c r="FX427" s="64"/>
      <c r="FY427" s="64"/>
      <c r="FZ427" s="64"/>
      <c r="GA427" s="64"/>
      <c r="GB427" s="64"/>
      <c r="GC427" s="64"/>
      <c r="GD427" s="64"/>
      <c r="GE427" s="64"/>
      <c r="GF427" s="64"/>
      <c r="GG427" s="64"/>
      <c r="GH427" s="64"/>
      <c r="GI427" s="64"/>
      <c r="GJ427" s="64"/>
      <c r="GK427" s="64"/>
      <c r="GL427" s="64"/>
      <c r="GM427" s="64"/>
      <c r="GN427" s="64"/>
      <c r="GO427" s="64"/>
      <c r="GP427" s="64"/>
      <c r="GQ427" s="64"/>
      <c r="GR427" s="64"/>
      <c r="GS427" s="64"/>
      <c r="GT427" s="64"/>
      <c r="GU427" s="64"/>
      <c r="GV427" s="64"/>
      <c r="GW427" s="64"/>
      <c r="GX427" s="64"/>
      <c r="GY427" s="64"/>
      <c r="GZ427" s="64"/>
      <c r="HA427" s="64"/>
      <c r="HB427" s="64"/>
      <c r="HC427" s="64"/>
      <c r="HD427" s="64"/>
      <c r="HE427" s="64"/>
      <c r="HF427" s="64"/>
      <c r="HG427" s="64"/>
      <c r="HH427" s="64"/>
      <c r="HI427" s="64"/>
      <c r="HJ427" s="64"/>
      <c r="HK427" s="64"/>
      <c r="HL427" s="64"/>
      <c r="HM427" s="64"/>
      <c r="HN427" s="64"/>
      <c r="HO427" s="64"/>
      <c r="HP427" s="64"/>
      <c r="HQ427" s="64"/>
      <c r="HR427" s="64"/>
      <c r="HS427" s="64"/>
      <c r="HT427" s="64"/>
      <c r="HU427" s="64"/>
      <c r="HV427" s="64"/>
      <c r="HW427" s="64"/>
      <c r="HX427" s="64"/>
      <c r="HY427" s="64"/>
      <c r="HZ427" s="64"/>
      <c r="IA427" s="64"/>
      <c r="IB427" s="64"/>
      <c r="IC427" s="64"/>
      <c r="ID427" s="64"/>
      <c r="IE427" s="64"/>
      <c r="IF427" s="64"/>
      <c r="IG427" s="64"/>
      <c r="IH427" s="64"/>
      <c r="II427" s="64"/>
      <c r="IJ427" s="64"/>
      <c r="IK427" s="64"/>
      <c r="IL427" s="64"/>
      <c r="IM427" s="64"/>
      <c r="IN427" s="64"/>
      <c r="IO427" s="64"/>
      <c r="IP427" s="64"/>
      <c r="IQ427" s="64"/>
      <c r="IR427" s="64"/>
      <c r="IS427" s="64"/>
      <c r="IT427" s="64"/>
      <c r="IU427" s="64"/>
      <c r="IV427" s="64"/>
      <c r="IW427" s="64"/>
      <c r="IX427" s="64"/>
      <c r="IY427" s="64"/>
      <c r="IZ427" s="64"/>
      <c r="JA427" s="64"/>
      <c r="JB427" s="64"/>
      <c r="JC427" s="64"/>
      <c r="JD427" s="64"/>
      <c r="JE427" s="64"/>
      <c r="JF427" s="64"/>
      <c r="JG427" s="64"/>
      <c r="JH427" s="64"/>
      <c r="JI427" s="64"/>
    </row>
    <row r="428" spans="1:269" s="920" customFormat="1" x14ac:dyDescent="0.2">
      <c r="A428" s="116"/>
      <c r="B428" s="64"/>
      <c r="C428" s="64"/>
      <c r="D428" s="64"/>
      <c r="E428" s="64"/>
      <c r="F428" s="64"/>
      <c r="G428" s="64"/>
      <c r="H428" s="64"/>
      <c r="I428" s="64"/>
      <c r="J428" s="116"/>
      <c r="K428" s="116"/>
      <c r="L428" s="116"/>
      <c r="M428" s="116"/>
      <c r="N428" s="116"/>
      <c r="O428" s="116"/>
      <c r="P428" s="116"/>
      <c r="Q428" s="102"/>
      <c r="R428" s="102"/>
      <c r="S428" s="102"/>
      <c r="T428" s="102"/>
      <c r="U428" s="913"/>
      <c r="V428" s="114"/>
      <c r="W428" s="805"/>
      <c r="X428" s="805"/>
      <c r="Y428" s="805"/>
      <c r="Z428" s="914"/>
      <c r="AA428" s="102"/>
      <c r="AB428" s="102"/>
      <c r="AC428" s="102"/>
      <c r="AD428" s="102"/>
      <c r="AE428" s="102"/>
      <c r="AF428" s="102"/>
      <c r="AG428" s="102"/>
      <c r="AH428" s="102"/>
      <c r="AI428" s="102"/>
      <c r="AJ428" s="906"/>
      <c r="AK428" s="102"/>
      <c r="AL428" s="915"/>
      <c r="AM428" s="915"/>
      <c r="AN428" s="114"/>
      <c r="AO428" s="64"/>
      <c r="AP428" s="64"/>
      <c r="AQ428" s="64"/>
      <c r="AR428" s="916"/>
      <c r="AS428" s="916"/>
      <c r="AT428" s="916"/>
      <c r="AU428" s="917"/>
      <c r="AV428" s="917"/>
      <c r="AW428" s="917"/>
      <c r="AX428" s="918"/>
      <c r="AY428" s="916"/>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917"/>
      <c r="CA428" s="917"/>
      <c r="CB428" s="64"/>
      <c r="CC428" s="919"/>
      <c r="CD428" s="919"/>
      <c r="CE428" s="64"/>
      <c r="CF428" s="528"/>
      <c r="CG428" s="529"/>
      <c r="CH428" s="64"/>
      <c r="CI428" s="64"/>
      <c r="CJ428" s="64"/>
      <c r="CK428" s="64"/>
      <c r="CL428" s="64"/>
      <c r="CM428" s="64"/>
      <c r="CN428" s="64"/>
      <c r="CO428" s="64"/>
      <c r="CP428" s="64"/>
      <c r="CQ428" s="64"/>
      <c r="CR428" s="64"/>
      <c r="CS428" s="64"/>
      <c r="CT428" s="64"/>
      <c r="CU428" s="64"/>
      <c r="CV428" s="64"/>
      <c r="CW428" s="64"/>
      <c r="CX428" s="64"/>
      <c r="CY428" s="1011"/>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c r="FC428" s="64"/>
      <c r="FD428" s="64"/>
      <c r="FE428" s="64"/>
      <c r="FF428" s="64"/>
      <c r="FG428" s="64"/>
      <c r="FH428" s="64"/>
      <c r="FI428" s="64"/>
      <c r="FJ428" s="64"/>
      <c r="FK428" s="64"/>
      <c r="FL428" s="64"/>
      <c r="FM428" s="64"/>
      <c r="FN428" s="64"/>
      <c r="FO428" s="64"/>
      <c r="FP428" s="64"/>
      <c r="FQ428" s="64"/>
      <c r="FR428" s="64"/>
      <c r="FS428" s="64"/>
      <c r="FT428" s="64"/>
      <c r="FU428" s="64"/>
      <c r="FV428" s="64"/>
      <c r="FW428" s="64"/>
      <c r="FX428" s="64"/>
      <c r="FY428" s="64"/>
      <c r="FZ428" s="64"/>
      <c r="GA428" s="64"/>
      <c r="GB428" s="64"/>
      <c r="GC428" s="64"/>
      <c r="GD428" s="64"/>
      <c r="GE428" s="64"/>
      <c r="GF428" s="64"/>
      <c r="GG428" s="64"/>
      <c r="GH428" s="64"/>
      <c r="GI428" s="64"/>
      <c r="GJ428" s="64"/>
      <c r="GK428" s="64"/>
      <c r="GL428" s="64"/>
      <c r="GM428" s="64"/>
      <c r="GN428" s="64"/>
      <c r="GO428" s="64"/>
      <c r="GP428" s="64"/>
      <c r="GQ428" s="64"/>
      <c r="GR428" s="64"/>
      <c r="GS428" s="64"/>
      <c r="GT428" s="64"/>
      <c r="GU428" s="64"/>
      <c r="GV428" s="64"/>
      <c r="GW428" s="64"/>
      <c r="GX428" s="64"/>
      <c r="GY428" s="64"/>
      <c r="GZ428" s="64"/>
      <c r="HA428" s="64"/>
      <c r="HB428" s="64"/>
      <c r="HC428" s="64"/>
      <c r="HD428" s="64"/>
      <c r="HE428" s="64"/>
      <c r="HF428" s="64"/>
      <c r="HG428" s="64"/>
      <c r="HH428" s="64"/>
      <c r="HI428" s="64"/>
      <c r="HJ428" s="64"/>
      <c r="HK428" s="64"/>
      <c r="HL428" s="64"/>
      <c r="HM428" s="64"/>
      <c r="HN428" s="64"/>
      <c r="HO428" s="64"/>
      <c r="HP428" s="64"/>
      <c r="HQ428" s="64"/>
      <c r="HR428" s="64"/>
      <c r="HS428" s="64"/>
      <c r="HT428" s="64"/>
      <c r="HU428" s="64"/>
      <c r="HV428" s="64"/>
      <c r="HW428" s="64"/>
      <c r="HX428" s="64"/>
      <c r="HY428" s="64"/>
      <c r="HZ428" s="64"/>
      <c r="IA428" s="64"/>
      <c r="IB428" s="64"/>
      <c r="IC428" s="64"/>
      <c r="ID428" s="64"/>
      <c r="IE428" s="64"/>
      <c r="IF428" s="64"/>
      <c r="IG428" s="64"/>
      <c r="IH428" s="64"/>
      <c r="II428" s="64"/>
      <c r="IJ428" s="64"/>
      <c r="IK428" s="64"/>
      <c r="IL428" s="64"/>
      <c r="IM428" s="64"/>
      <c r="IN428" s="64"/>
      <c r="IO428" s="64"/>
      <c r="IP428" s="64"/>
      <c r="IQ428" s="64"/>
      <c r="IR428" s="64"/>
      <c r="IS428" s="64"/>
      <c r="IT428" s="64"/>
      <c r="IU428" s="64"/>
      <c r="IV428" s="64"/>
      <c r="IW428" s="64"/>
      <c r="IX428" s="64"/>
      <c r="IY428" s="64"/>
      <c r="IZ428" s="64"/>
      <c r="JA428" s="64"/>
      <c r="JB428" s="64"/>
      <c r="JC428" s="64"/>
      <c r="JD428" s="64"/>
      <c r="JE428" s="64"/>
      <c r="JF428" s="64"/>
      <c r="JG428" s="64"/>
      <c r="JH428" s="64"/>
      <c r="JI428" s="64"/>
    </row>
    <row r="429" spans="1:269" s="920" customFormat="1" x14ac:dyDescent="0.2">
      <c r="A429" s="116"/>
      <c r="B429" s="64"/>
      <c r="C429" s="64"/>
      <c r="D429" s="64"/>
      <c r="E429" s="64"/>
      <c r="F429" s="64"/>
      <c r="G429" s="64"/>
      <c r="H429" s="64"/>
      <c r="I429" s="64"/>
      <c r="J429" s="116"/>
      <c r="K429" s="116"/>
      <c r="L429" s="116"/>
      <c r="M429" s="116"/>
      <c r="N429" s="116"/>
      <c r="O429" s="116"/>
      <c r="P429" s="116"/>
      <c r="Q429" s="102"/>
      <c r="R429" s="102"/>
      <c r="S429" s="102"/>
      <c r="T429" s="102"/>
      <c r="U429" s="913"/>
      <c r="V429" s="114"/>
      <c r="W429" s="805"/>
      <c r="X429" s="805"/>
      <c r="Y429" s="805"/>
      <c r="Z429" s="914"/>
      <c r="AA429" s="102"/>
      <c r="AB429" s="102"/>
      <c r="AC429" s="102"/>
      <c r="AD429" s="102"/>
      <c r="AE429" s="102"/>
      <c r="AF429" s="102"/>
      <c r="AG429" s="102"/>
      <c r="AH429" s="102"/>
      <c r="AI429" s="102"/>
      <c r="AJ429" s="906"/>
      <c r="AK429" s="102"/>
      <c r="AL429" s="915"/>
      <c r="AM429" s="915"/>
      <c r="AN429" s="114"/>
      <c r="AO429" s="64"/>
      <c r="AP429" s="64"/>
      <c r="AQ429" s="64"/>
      <c r="AR429" s="916"/>
      <c r="AS429" s="916"/>
      <c r="AT429" s="916"/>
      <c r="AU429" s="917"/>
      <c r="AV429" s="917"/>
      <c r="AW429" s="917"/>
      <c r="AX429" s="918"/>
      <c r="AY429" s="916"/>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917"/>
      <c r="CA429" s="917"/>
      <c r="CB429" s="64"/>
      <c r="CC429" s="919"/>
      <c r="CD429" s="919"/>
      <c r="CE429" s="64"/>
      <c r="CF429" s="528"/>
      <c r="CG429" s="529"/>
      <c r="CH429" s="64"/>
      <c r="CI429" s="64"/>
      <c r="CJ429" s="64"/>
      <c r="CK429" s="64"/>
      <c r="CL429" s="64"/>
      <c r="CM429" s="64"/>
      <c r="CN429" s="64"/>
      <c r="CO429" s="64"/>
      <c r="CP429" s="64"/>
      <c r="CQ429" s="64"/>
      <c r="CR429" s="64"/>
      <c r="CS429" s="64"/>
      <c r="CT429" s="64"/>
      <c r="CU429" s="64"/>
      <c r="CV429" s="64"/>
      <c r="CW429" s="64"/>
      <c r="CX429" s="64"/>
      <c r="CY429" s="1011"/>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c r="FC429" s="64"/>
      <c r="FD429" s="64"/>
      <c r="FE429" s="64"/>
      <c r="FF429" s="64"/>
      <c r="FG429" s="64"/>
      <c r="FH429" s="64"/>
      <c r="FI429" s="64"/>
      <c r="FJ429" s="64"/>
      <c r="FK429" s="64"/>
      <c r="FL429" s="64"/>
      <c r="FM429" s="64"/>
      <c r="FN429" s="64"/>
      <c r="FO429" s="64"/>
      <c r="FP429" s="64"/>
      <c r="FQ429" s="64"/>
      <c r="FR429" s="64"/>
      <c r="FS429" s="64"/>
      <c r="FT429" s="64"/>
      <c r="FU429" s="64"/>
      <c r="FV429" s="64"/>
      <c r="FW429" s="64"/>
      <c r="FX429" s="64"/>
      <c r="FY429" s="64"/>
      <c r="FZ429" s="64"/>
      <c r="GA429" s="64"/>
      <c r="GB429" s="64"/>
      <c r="GC429" s="64"/>
      <c r="GD429" s="64"/>
      <c r="GE429" s="64"/>
      <c r="GF429" s="64"/>
      <c r="GG429" s="64"/>
      <c r="GH429" s="64"/>
      <c r="GI429" s="64"/>
      <c r="GJ429" s="64"/>
      <c r="GK429" s="64"/>
      <c r="GL429" s="64"/>
      <c r="GM429" s="64"/>
      <c r="GN429" s="64"/>
      <c r="GO429" s="64"/>
      <c r="GP429" s="64"/>
      <c r="GQ429" s="64"/>
      <c r="GR429" s="64"/>
      <c r="GS429" s="64"/>
      <c r="GT429" s="64"/>
      <c r="GU429" s="64"/>
      <c r="GV429" s="64"/>
      <c r="GW429" s="64"/>
      <c r="GX429" s="64"/>
      <c r="GY429" s="64"/>
      <c r="GZ429" s="64"/>
      <c r="HA429" s="64"/>
      <c r="HB429" s="64"/>
      <c r="HC429" s="64"/>
      <c r="HD429" s="64"/>
      <c r="HE429" s="64"/>
      <c r="HF429" s="64"/>
      <c r="HG429" s="64"/>
      <c r="HH429" s="64"/>
      <c r="HI429" s="64"/>
      <c r="HJ429" s="64"/>
      <c r="HK429" s="64"/>
      <c r="HL429" s="64"/>
      <c r="HM429" s="64"/>
      <c r="HN429" s="64"/>
      <c r="HO429" s="64"/>
      <c r="HP429" s="64"/>
      <c r="HQ429" s="64"/>
      <c r="HR429" s="64"/>
      <c r="HS429" s="64"/>
      <c r="HT429" s="64"/>
      <c r="HU429" s="64"/>
      <c r="HV429" s="64"/>
      <c r="HW429" s="64"/>
      <c r="HX429" s="64"/>
      <c r="HY429" s="64"/>
      <c r="HZ429" s="64"/>
      <c r="IA429" s="64"/>
      <c r="IB429" s="64"/>
      <c r="IC429" s="64"/>
      <c r="ID429" s="64"/>
      <c r="IE429" s="64"/>
      <c r="IF429" s="64"/>
      <c r="IG429" s="64"/>
      <c r="IH429" s="64"/>
      <c r="II429" s="64"/>
      <c r="IJ429" s="64"/>
      <c r="IK429" s="64"/>
      <c r="IL429" s="64"/>
      <c r="IM429" s="64"/>
      <c r="IN429" s="64"/>
      <c r="IO429" s="64"/>
      <c r="IP429" s="64"/>
      <c r="IQ429" s="64"/>
      <c r="IR429" s="64"/>
      <c r="IS429" s="64"/>
      <c r="IT429" s="64"/>
      <c r="IU429" s="64"/>
      <c r="IV429" s="64"/>
      <c r="IW429" s="64"/>
      <c r="IX429" s="64"/>
      <c r="IY429" s="64"/>
      <c r="IZ429" s="64"/>
      <c r="JA429" s="64"/>
      <c r="JB429" s="64"/>
      <c r="JC429" s="64"/>
      <c r="JD429" s="64"/>
      <c r="JE429" s="64"/>
      <c r="JF429" s="64"/>
      <c r="JG429" s="64"/>
      <c r="JH429" s="64"/>
      <c r="JI429" s="64"/>
    </row>
    <row r="430" spans="1:269" s="920" customFormat="1" x14ac:dyDescent="0.2">
      <c r="A430" s="116"/>
      <c r="B430" s="64"/>
      <c r="C430" s="64"/>
      <c r="D430" s="64"/>
      <c r="E430" s="64"/>
      <c r="F430" s="64"/>
      <c r="G430" s="64"/>
      <c r="H430" s="64"/>
      <c r="I430" s="64"/>
      <c r="J430" s="116"/>
      <c r="K430" s="116"/>
      <c r="L430" s="116"/>
      <c r="M430" s="116"/>
      <c r="N430" s="116"/>
      <c r="O430" s="116"/>
      <c r="P430" s="116"/>
      <c r="Q430" s="102"/>
      <c r="R430" s="102"/>
      <c r="S430" s="102"/>
      <c r="T430" s="102"/>
      <c r="U430" s="913"/>
      <c r="V430" s="114"/>
      <c r="W430" s="805"/>
      <c r="X430" s="805"/>
      <c r="Y430" s="805"/>
      <c r="Z430" s="914"/>
      <c r="AA430" s="102"/>
      <c r="AB430" s="102"/>
      <c r="AC430" s="102"/>
      <c r="AD430" s="102"/>
      <c r="AE430" s="102"/>
      <c r="AF430" s="102"/>
      <c r="AG430" s="102"/>
      <c r="AH430" s="102"/>
      <c r="AI430" s="102"/>
      <c r="AJ430" s="906"/>
      <c r="AK430" s="102"/>
      <c r="AL430" s="915"/>
      <c r="AM430" s="915"/>
      <c r="AN430" s="114"/>
      <c r="AO430" s="64"/>
      <c r="AP430" s="64"/>
      <c r="AQ430" s="64"/>
      <c r="AR430" s="916"/>
      <c r="AS430" s="916"/>
      <c r="AT430" s="916"/>
      <c r="AU430" s="917"/>
      <c r="AV430" s="917"/>
      <c r="AW430" s="917"/>
      <c r="AX430" s="918"/>
      <c r="AY430" s="916"/>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917"/>
      <c r="CA430" s="917"/>
      <c r="CB430" s="64"/>
      <c r="CC430" s="919"/>
      <c r="CD430" s="919"/>
      <c r="CE430" s="64"/>
      <c r="CF430" s="528"/>
      <c r="CG430" s="529"/>
      <c r="CH430" s="64"/>
      <c r="CI430" s="64"/>
      <c r="CJ430" s="64"/>
      <c r="CK430" s="64"/>
      <c r="CL430" s="64"/>
      <c r="CM430" s="64"/>
      <c r="CN430" s="64"/>
      <c r="CO430" s="64"/>
      <c r="CP430" s="64"/>
      <c r="CQ430" s="64"/>
      <c r="CR430" s="64"/>
      <c r="CS430" s="64"/>
      <c r="CT430" s="64"/>
      <c r="CU430" s="64"/>
      <c r="CV430" s="64"/>
      <c r="CW430" s="64"/>
      <c r="CX430" s="64"/>
      <c r="CY430" s="1011"/>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c r="FC430" s="64"/>
      <c r="FD430" s="64"/>
      <c r="FE430" s="64"/>
      <c r="FF430" s="64"/>
      <c r="FG430" s="64"/>
      <c r="FH430" s="64"/>
      <c r="FI430" s="64"/>
      <c r="FJ430" s="64"/>
      <c r="FK430" s="64"/>
      <c r="FL430" s="64"/>
      <c r="FM430" s="64"/>
      <c r="FN430" s="64"/>
      <c r="FO430" s="64"/>
      <c r="FP430" s="64"/>
      <c r="FQ430" s="64"/>
      <c r="FR430" s="64"/>
      <c r="FS430" s="64"/>
      <c r="FT430" s="64"/>
      <c r="FU430" s="64"/>
      <c r="FV430" s="64"/>
      <c r="FW430" s="64"/>
      <c r="FX430" s="64"/>
      <c r="FY430" s="64"/>
      <c r="FZ430" s="64"/>
      <c r="GA430" s="64"/>
      <c r="GB430" s="64"/>
      <c r="GC430" s="64"/>
      <c r="GD430" s="64"/>
      <c r="GE430" s="64"/>
      <c r="GF430" s="64"/>
      <c r="GG430" s="64"/>
      <c r="GH430" s="64"/>
      <c r="GI430" s="64"/>
      <c r="GJ430" s="64"/>
      <c r="GK430" s="64"/>
      <c r="GL430" s="64"/>
      <c r="GM430" s="64"/>
      <c r="GN430" s="64"/>
      <c r="GO430" s="64"/>
      <c r="GP430" s="64"/>
      <c r="GQ430" s="64"/>
      <c r="GR430" s="64"/>
      <c r="GS430" s="64"/>
      <c r="GT430" s="64"/>
      <c r="GU430" s="64"/>
      <c r="GV430" s="64"/>
      <c r="GW430" s="64"/>
      <c r="GX430" s="64"/>
      <c r="GY430" s="64"/>
      <c r="GZ430" s="64"/>
      <c r="HA430" s="64"/>
      <c r="HB430" s="64"/>
      <c r="HC430" s="64"/>
      <c r="HD430" s="64"/>
      <c r="HE430" s="64"/>
      <c r="HF430" s="64"/>
      <c r="HG430" s="64"/>
      <c r="HH430" s="64"/>
      <c r="HI430" s="64"/>
      <c r="HJ430" s="64"/>
      <c r="HK430" s="64"/>
      <c r="HL430" s="64"/>
      <c r="HM430" s="64"/>
      <c r="HN430" s="64"/>
      <c r="HO430" s="64"/>
      <c r="HP430" s="64"/>
      <c r="HQ430" s="64"/>
      <c r="HR430" s="64"/>
      <c r="HS430" s="64"/>
      <c r="HT430" s="64"/>
      <c r="HU430" s="64"/>
      <c r="HV430" s="64"/>
      <c r="HW430" s="64"/>
      <c r="HX430" s="64"/>
      <c r="HY430" s="64"/>
      <c r="HZ430" s="64"/>
      <c r="IA430" s="64"/>
      <c r="IB430" s="64"/>
      <c r="IC430" s="64"/>
      <c r="ID430" s="64"/>
      <c r="IE430" s="64"/>
      <c r="IF430" s="64"/>
      <c r="IG430" s="64"/>
      <c r="IH430" s="64"/>
      <c r="II430" s="64"/>
      <c r="IJ430" s="64"/>
      <c r="IK430" s="64"/>
      <c r="IL430" s="64"/>
      <c r="IM430" s="64"/>
      <c r="IN430" s="64"/>
      <c r="IO430" s="64"/>
      <c r="IP430" s="64"/>
      <c r="IQ430" s="64"/>
      <c r="IR430" s="64"/>
      <c r="IS430" s="64"/>
      <c r="IT430" s="64"/>
      <c r="IU430" s="64"/>
      <c r="IV430" s="64"/>
      <c r="IW430" s="64"/>
      <c r="IX430" s="64"/>
      <c r="IY430" s="64"/>
      <c r="IZ430" s="64"/>
      <c r="JA430" s="64"/>
      <c r="JB430" s="64"/>
      <c r="JC430" s="64"/>
      <c r="JD430" s="64"/>
      <c r="JE430" s="64"/>
      <c r="JF430" s="64"/>
      <c r="JG430" s="64"/>
      <c r="JH430" s="64"/>
      <c r="JI430" s="64"/>
    </row>
    <row r="431" spans="1:269" s="920" customFormat="1" x14ac:dyDescent="0.2">
      <c r="A431" s="116"/>
      <c r="B431" s="64"/>
      <c r="C431" s="64"/>
      <c r="D431" s="64"/>
      <c r="E431" s="64"/>
      <c r="F431" s="64"/>
      <c r="G431" s="64"/>
      <c r="H431" s="64"/>
      <c r="I431" s="64"/>
      <c r="J431" s="116"/>
      <c r="K431" s="116"/>
      <c r="L431" s="116"/>
      <c r="M431" s="116"/>
      <c r="N431" s="116"/>
      <c r="O431" s="116"/>
      <c r="P431" s="116"/>
      <c r="Q431" s="102"/>
      <c r="R431" s="102"/>
      <c r="S431" s="102"/>
      <c r="T431" s="102"/>
      <c r="U431" s="913"/>
      <c r="V431" s="114"/>
      <c r="W431" s="805"/>
      <c r="X431" s="805"/>
      <c r="Y431" s="805"/>
      <c r="Z431" s="914"/>
      <c r="AA431" s="102"/>
      <c r="AB431" s="102"/>
      <c r="AC431" s="102"/>
      <c r="AD431" s="102"/>
      <c r="AE431" s="102"/>
      <c r="AF431" s="102"/>
      <c r="AG431" s="102"/>
      <c r="AH431" s="102"/>
      <c r="AI431" s="102"/>
      <c r="AJ431" s="906"/>
      <c r="AK431" s="102"/>
      <c r="AL431" s="915"/>
      <c r="AM431" s="915"/>
      <c r="AN431" s="114"/>
      <c r="AO431" s="64"/>
      <c r="AP431" s="64"/>
      <c r="AQ431" s="64"/>
      <c r="AR431" s="916"/>
      <c r="AS431" s="916"/>
      <c r="AT431" s="916"/>
      <c r="AU431" s="917"/>
      <c r="AV431" s="917"/>
      <c r="AW431" s="917"/>
      <c r="AX431" s="918"/>
      <c r="AY431" s="916"/>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917"/>
      <c r="CA431" s="917"/>
      <c r="CB431" s="64"/>
      <c r="CC431" s="919"/>
      <c r="CD431" s="919"/>
      <c r="CE431" s="64"/>
      <c r="CF431" s="528"/>
      <c r="CG431" s="529"/>
      <c r="CH431" s="64"/>
      <c r="CI431" s="64"/>
      <c r="CJ431" s="64"/>
      <c r="CK431" s="64"/>
      <c r="CL431" s="64"/>
      <c r="CM431" s="64"/>
      <c r="CN431" s="64"/>
      <c r="CO431" s="64"/>
      <c r="CP431" s="64"/>
      <c r="CQ431" s="64"/>
      <c r="CR431" s="64"/>
      <c r="CS431" s="64"/>
      <c r="CT431" s="64"/>
      <c r="CU431" s="64"/>
      <c r="CV431" s="64"/>
      <c r="CW431" s="64"/>
      <c r="CX431" s="64"/>
      <c r="CY431" s="1011"/>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c r="FC431" s="64"/>
      <c r="FD431" s="64"/>
      <c r="FE431" s="64"/>
      <c r="FF431" s="64"/>
      <c r="FG431" s="64"/>
      <c r="FH431" s="64"/>
      <c r="FI431" s="64"/>
      <c r="FJ431" s="64"/>
      <c r="FK431" s="64"/>
      <c r="FL431" s="64"/>
      <c r="FM431" s="64"/>
      <c r="FN431" s="64"/>
      <c r="FO431" s="64"/>
      <c r="FP431" s="64"/>
      <c r="FQ431" s="64"/>
      <c r="FR431" s="64"/>
      <c r="FS431" s="64"/>
      <c r="FT431" s="64"/>
      <c r="FU431" s="64"/>
      <c r="FV431" s="64"/>
      <c r="FW431" s="64"/>
      <c r="FX431" s="64"/>
      <c r="FY431" s="64"/>
      <c r="FZ431" s="64"/>
      <c r="GA431" s="64"/>
      <c r="GB431" s="64"/>
      <c r="GC431" s="64"/>
      <c r="GD431" s="64"/>
      <c r="GE431" s="64"/>
      <c r="GF431" s="64"/>
      <c r="GG431" s="64"/>
      <c r="GH431" s="64"/>
      <c r="GI431" s="64"/>
      <c r="GJ431" s="64"/>
      <c r="GK431" s="64"/>
      <c r="GL431" s="64"/>
      <c r="GM431" s="64"/>
      <c r="GN431" s="64"/>
      <c r="GO431" s="64"/>
      <c r="GP431" s="64"/>
      <c r="GQ431" s="64"/>
      <c r="GR431" s="64"/>
      <c r="GS431" s="64"/>
      <c r="GT431" s="64"/>
      <c r="GU431" s="64"/>
      <c r="GV431" s="64"/>
      <c r="GW431" s="64"/>
      <c r="GX431" s="64"/>
      <c r="GY431" s="64"/>
      <c r="GZ431" s="64"/>
      <c r="HA431" s="64"/>
      <c r="HB431" s="64"/>
      <c r="HC431" s="64"/>
      <c r="HD431" s="64"/>
      <c r="HE431" s="64"/>
      <c r="HF431" s="64"/>
      <c r="HG431" s="64"/>
      <c r="HH431" s="64"/>
      <c r="HI431" s="64"/>
      <c r="HJ431" s="64"/>
      <c r="HK431" s="64"/>
      <c r="HL431" s="64"/>
      <c r="HM431" s="64"/>
      <c r="HN431" s="64"/>
      <c r="HO431" s="64"/>
      <c r="HP431" s="64"/>
      <c r="HQ431" s="64"/>
      <c r="HR431" s="64"/>
      <c r="HS431" s="64"/>
      <c r="HT431" s="64"/>
      <c r="HU431" s="64"/>
      <c r="HV431" s="64"/>
      <c r="HW431" s="64"/>
      <c r="HX431" s="64"/>
      <c r="HY431" s="64"/>
      <c r="HZ431" s="64"/>
      <c r="IA431" s="64"/>
      <c r="IB431" s="64"/>
      <c r="IC431" s="64"/>
      <c r="ID431" s="64"/>
      <c r="IE431" s="64"/>
      <c r="IF431" s="64"/>
      <c r="IG431" s="64"/>
      <c r="IH431" s="64"/>
      <c r="II431" s="64"/>
      <c r="IJ431" s="64"/>
      <c r="IK431" s="64"/>
      <c r="IL431" s="64"/>
      <c r="IM431" s="64"/>
      <c r="IN431" s="64"/>
      <c r="IO431" s="64"/>
      <c r="IP431" s="64"/>
      <c r="IQ431" s="64"/>
      <c r="IR431" s="64"/>
      <c r="IS431" s="64"/>
      <c r="IT431" s="64"/>
      <c r="IU431" s="64"/>
      <c r="IV431" s="64"/>
      <c r="IW431" s="64"/>
      <c r="IX431" s="64"/>
      <c r="IY431" s="64"/>
      <c r="IZ431" s="64"/>
      <c r="JA431" s="64"/>
      <c r="JB431" s="64"/>
      <c r="JC431" s="64"/>
      <c r="JD431" s="64"/>
      <c r="JE431" s="64"/>
      <c r="JF431" s="64"/>
      <c r="JG431" s="64"/>
      <c r="JH431" s="64"/>
      <c r="JI431" s="64"/>
    </row>
    <row r="432" spans="1:269" s="920" customFormat="1" x14ac:dyDescent="0.2">
      <c r="A432" s="116"/>
      <c r="B432" s="64"/>
      <c r="C432" s="64"/>
      <c r="D432" s="64"/>
      <c r="E432" s="64"/>
      <c r="F432" s="64"/>
      <c r="G432" s="64"/>
      <c r="H432" s="64"/>
      <c r="I432" s="64"/>
      <c r="J432" s="116"/>
      <c r="K432" s="116"/>
      <c r="L432" s="116"/>
      <c r="M432" s="116"/>
      <c r="N432" s="116"/>
      <c r="O432" s="116"/>
      <c r="P432" s="116"/>
      <c r="Q432" s="102"/>
      <c r="R432" s="102"/>
      <c r="S432" s="102"/>
      <c r="T432" s="102"/>
      <c r="U432" s="913"/>
      <c r="V432" s="114"/>
      <c r="W432" s="805"/>
      <c r="X432" s="805"/>
      <c r="Y432" s="805"/>
      <c r="Z432" s="914"/>
      <c r="AA432" s="102"/>
      <c r="AB432" s="102"/>
      <c r="AC432" s="102"/>
      <c r="AD432" s="102"/>
      <c r="AE432" s="102"/>
      <c r="AF432" s="102"/>
      <c r="AG432" s="102"/>
      <c r="AH432" s="102"/>
      <c r="AI432" s="102"/>
      <c r="AJ432" s="906"/>
      <c r="AK432" s="102"/>
      <c r="AL432" s="915"/>
      <c r="AM432" s="915"/>
      <c r="AN432" s="114"/>
      <c r="AO432" s="64"/>
      <c r="AP432" s="64"/>
      <c r="AQ432" s="64"/>
      <c r="AR432" s="916"/>
      <c r="AS432" s="916"/>
      <c r="AT432" s="916"/>
      <c r="AU432" s="917"/>
      <c r="AV432" s="917"/>
      <c r="AW432" s="917"/>
      <c r="AX432" s="918"/>
      <c r="AY432" s="916"/>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917"/>
      <c r="CA432" s="917"/>
      <c r="CB432" s="64"/>
      <c r="CC432" s="919"/>
      <c r="CD432" s="919"/>
      <c r="CE432" s="64"/>
      <c r="CF432" s="528"/>
      <c r="CG432" s="529"/>
      <c r="CH432" s="64"/>
      <c r="CI432" s="64"/>
      <c r="CJ432" s="64"/>
      <c r="CK432" s="64"/>
      <c r="CL432" s="64"/>
      <c r="CM432" s="64"/>
      <c r="CN432" s="64"/>
      <c r="CO432" s="64"/>
      <c r="CP432" s="64"/>
      <c r="CQ432" s="64"/>
      <c r="CR432" s="64"/>
      <c r="CS432" s="64"/>
      <c r="CT432" s="64"/>
      <c r="CU432" s="64"/>
      <c r="CV432" s="64"/>
      <c r="CW432" s="64"/>
      <c r="CX432" s="64"/>
      <c r="CY432" s="1011"/>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c r="FC432" s="64"/>
      <c r="FD432" s="64"/>
      <c r="FE432" s="64"/>
      <c r="FF432" s="64"/>
      <c r="FG432" s="64"/>
      <c r="FH432" s="64"/>
      <c r="FI432" s="64"/>
      <c r="FJ432" s="64"/>
      <c r="FK432" s="64"/>
      <c r="FL432" s="64"/>
      <c r="FM432" s="64"/>
      <c r="FN432" s="64"/>
      <c r="FO432" s="64"/>
      <c r="FP432" s="64"/>
      <c r="FQ432" s="64"/>
      <c r="FR432" s="64"/>
      <c r="FS432" s="64"/>
      <c r="FT432" s="64"/>
      <c r="FU432" s="64"/>
      <c r="FV432" s="64"/>
      <c r="FW432" s="64"/>
      <c r="FX432" s="64"/>
      <c r="FY432" s="64"/>
      <c r="FZ432" s="64"/>
      <c r="GA432" s="64"/>
      <c r="GB432" s="64"/>
      <c r="GC432" s="64"/>
      <c r="GD432" s="64"/>
      <c r="GE432" s="64"/>
      <c r="GF432" s="64"/>
      <c r="GG432" s="64"/>
      <c r="GH432" s="64"/>
      <c r="GI432" s="64"/>
      <c r="GJ432" s="64"/>
      <c r="GK432" s="64"/>
      <c r="GL432" s="64"/>
      <c r="GM432" s="64"/>
      <c r="GN432" s="64"/>
      <c r="GO432" s="64"/>
      <c r="GP432" s="64"/>
      <c r="GQ432" s="64"/>
      <c r="GR432" s="64"/>
      <c r="GS432" s="64"/>
      <c r="GT432" s="64"/>
      <c r="GU432" s="64"/>
      <c r="GV432" s="64"/>
      <c r="GW432" s="64"/>
      <c r="GX432" s="64"/>
      <c r="GY432" s="64"/>
      <c r="GZ432" s="64"/>
      <c r="HA432" s="64"/>
      <c r="HB432" s="64"/>
      <c r="HC432" s="64"/>
      <c r="HD432" s="64"/>
      <c r="HE432" s="64"/>
      <c r="HF432" s="64"/>
      <c r="HG432" s="64"/>
      <c r="HH432" s="64"/>
      <c r="HI432" s="64"/>
      <c r="HJ432" s="64"/>
      <c r="HK432" s="64"/>
      <c r="HL432" s="64"/>
      <c r="HM432" s="64"/>
      <c r="HN432" s="64"/>
      <c r="HO432" s="64"/>
      <c r="HP432" s="64"/>
      <c r="HQ432" s="64"/>
      <c r="HR432" s="64"/>
      <c r="HS432" s="64"/>
      <c r="HT432" s="64"/>
      <c r="HU432" s="64"/>
      <c r="HV432" s="64"/>
      <c r="HW432" s="64"/>
      <c r="HX432" s="64"/>
      <c r="HY432" s="64"/>
      <c r="HZ432" s="64"/>
      <c r="IA432" s="64"/>
      <c r="IB432" s="64"/>
      <c r="IC432" s="64"/>
      <c r="ID432" s="64"/>
      <c r="IE432" s="64"/>
      <c r="IF432" s="64"/>
      <c r="IG432" s="64"/>
      <c r="IH432" s="64"/>
      <c r="II432" s="64"/>
      <c r="IJ432" s="64"/>
      <c r="IK432" s="64"/>
      <c r="IL432" s="64"/>
      <c r="IM432" s="64"/>
      <c r="IN432" s="64"/>
      <c r="IO432" s="64"/>
      <c r="IP432" s="64"/>
      <c r="IQ432" s="64"/>
      <c r="IR432" s="64"/>
      <c r="IS432" s="64"/>
      <c r="IT432" s="64"/>
      <c r="IU432" s="64"/>
      <c r="IV432" s="64"/>
      <c r="IW432" s="64"/>
      <c r="IX432" s="64"/>
      <c r="IY432" s="64"/>
      <c r="IZ432" s="64"/>
      <c r="JA432" s="64"/>
      <c r="JB432" s="64"/>
      <c r="JC432" s="64"/>
      <c r="JD432" s="64"/>
      <c r="JE432" s="64"/>
      <c r="JF432" s="64"/>
      <c r="JG432" s="64"/>
      <c r="JH432" s="64"/>
      <c r="JI432" s="64"/>
    </row>
    <row r="433" spans="1:269" s="920" customFormat="1" x14ac:dyDescent="0.2">
      <c r="A433" s="116"/>
      <c r="B433" s="64"/>
      <c r="C433" s="64"/>
      <c r="D433" s="64"/>
      <c r="E433" s="64"/>
      <c r="F433" s="64"/>
      <c r="G433" s="64"/>
      <c r="H433" s="64"/>
      <c r="I433" s="64"/>
      <c r="J433" s="116"/>
      <c r="K433" s="116"/>
      <c r="L433" s="116"/>
      <c r="M433" s="116"/>
      <c r="N433" s="116"/>
      <c r="O433" s="116"/>
      <c r="P433" s="116"/>
      <c r="Q433" s="102"/>
      <c r="R433" s="102"/>
      <c r="S433" s="102"/>
      <c r="T433" s="102"/>
      <c r="U433" s="913"/>
      <c r="V433" s="114"/>
      <c r="W433" s="805"/>
      <c r="X433" s="805"/>
      <c r="Y433" s="805"/>
      <c r="Z433" s="914"/>
      <c r="AA433" s="102"/>
      <c r="AB433" s="102"/>
      <c r="AC433" s="102"/>
      <c r="AD433" s="102"/>
      <c r="AE433" s="102"/>
      <c r="AF433" s="102"/>
      <c r="AG433" s="102"/>
      <c r="AH433" s="102"/>
      <c r="AI433" s="102"/>
      <c r="AJ433" s="906"/>
      <c r="AK433" s="102"/>
      <c r="AL433" s="915"/>
      <c r="AM433" s="915"/>
      <c r="AN433" s="114"/>
      <c r="AO433" s="64"/>
      <c r="AP433" s="64"/>
      <c r="AQ433" s="64"/>
      <c r="AR433" s="916"/>
      <c r="AS433" s="916"/>
      <c r="AT433" s="916"/>
      <c r="AU433" s="917"/>
      <c r="AV433" s="917"/>
      <c r="AW433" s="917"/>
      <c r="AX433" s="918"/>
      <c r="AY433" s="916"/>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917"/>
      <c r="CA433" s="917"/>
      <c r="CB433" s="64"/>
      <c r="CC433" s="919"/>
      <c r="CD433" s="919"/>
      <c r="CE433" s="64"/>
      <c r="CF433" s="528"/>
      <c r="CG433" s="529"/>
      <c r="CH433" s="64"/>
      <c r="CI433" s="64"/>
      <c r="CJ433" s="64"/>
      <c r="CK433" s="64"/>
      <c r="CL433" s="64"/>
      <c r="CM433" s="64"/>
      <c r="CN433" s="64"/>
      <c r="CO433" s="64"/>
      <c r="CP433" s="64"/>
      <c r="CQ433" s="64"/>
      <c r="CR433" s="64"/>
      <c r="CS433" s="64"/>
      <c r="CT433" s="64"/>
      <c r="CU433" s="64"/>
      <c r="CV433" s="64"/>
      <c r="CW433" s="64"/>
      <c r="CX433" s="64"/>
      <c r="CY433" s="1011"/>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c r="FC433" s="64"/>
      <c r="FD433" s="64"/>
      <c r="FE433" s="64"/>
      <c r="FF433" s="64"/>
      <c r="FG433" s="64"/>
      <c r="FH433" s="64"/>
      <c r="FI433" s="64"/>
      <c r="FJ433" s="64"/>
      <c r="FK433" s="64"/>
      <c r="FL433" s="64"/>
      <c r="FM433" s="64"/>
      <c r="FN433" s="64"/>
      <c r="FO433" s="64"/>
      <c r="FP433" s="64"/>
      <c r="FQ433" s="64"/>
      <c r="FR433" s="64"/>
      <c r="FS433" s="64"/>
      <c r="FT433" s="64"/>
      <c r="FU433" s="64"/>
      <c r="FV433" s="64"/>
      <c r="FW433" s="64"/>
      <c r="FX433" s="64"/>
      <c r="FY433" s="64"/>
      <c r="FZ433" s="64"/>
      <c r="GA433" s="64"/>
      <c r="GB433" s="64"/>
      <c r="GC433" s="64"/>
      <c r="GD433" s="64"/>
      <c r="GE433" s="64"/>
      <c r="GF433" s="64"/>
      <c r="GG433" s="64"/>
      <c r="GH433" s="64"/>
      <c r="GI433" s="64"/>
      <c r="GJ433" s="64"/>
      <c r="GK433" s="64"/>
      <c r="GL433" s="64"/>
      <c r="GM433" s="64"/>
      <c r="GN433" s="64"/>
      <c r="GO433" s="64"/>
      <c r="GP433" s="64"/>
      <c r="GQ433" s="64"/>
      <c r="GR433" s="64"/>
      <c r="GS433" s="64"/>
      <c r="GT433" s="64"/>
      <c r="GU433" s="64"/>
      <c r="GV433" s="64"/>
      <c r="GW433" s="64"/>
      <c r="GX433" s="64"/>
      <c r="GY433" s="64"/>
      <c r="GZ433" s="64"/>
      <c r="HA433" s="64"/>
      <c r="HB433" s="64"/>
      <c r="HC433" s="64"/>
      <c r="HD433" s="64"/>
      <c r="HE433" s="64"/>
      <c r="HF433" s="64"/>
      <c r="HG433" s="64"/>
      <c r="HH433" s="64"/>
      <c r="HI433" s="64"/>
      <c r="HJ433" s="64"/>
      <c r="HK433" s="64"/>
      <c r="HL433" s="64"/>
      <c r="HM433" s="64"/>
      <c r="HN433" s="64"/>
      <c r="HO433" s="64"/>
      <c r="HP433" s="64"/>
      <c r="HQ433" s="64"/>
      <c r="HR433" s="64"/>
      <c r="HS433" s="64"/>
      <c r="HT433" s="64"/>
      <c r="HU433" s="64"/>
      <c r="HV433" s="64"/>
      <c r="HW433" s="64"/>
      <c r="HX433" s="64"/>
      <c r="HY433" s="64"/>
      <c r="HZ433" s="64"/>
      <c r="IA433" s="64"/>
      <c r="IB433" s="64"/>
      <c r="IC433" s="64"/>
      <c r="ID433" s="64"/>
      <c r="IE433" s="64"/>
      <c r="IF433" s="64"/>
      <c r="IG433" s="64"/>
      <c r="IH433" s="64"/>
      <c r="II433" s="64"/>
      <c r="IJ433" s="64"/>
      <c r="IK433" s="64"/>
      <c r="IL433" s="64"/>
      <c r="IM433" s="64"/>
      <c r="IN433" s="64"/>
      <c r="IO433" s="64"/>
      <c r="IP433" s="64"/>
      <c r="IQ433" s="64"/>
      <c r="IR433" s="64"/>
      <c r="IS433" s="64"/>
      <c r="IT433" s="64"/>
      <c r="IU433" s="64"/>
      <c r="IV433" s="64"/>
      <c r="IW433" s="64"/>
      <c r="IX433" s="64"/>
      <c r="IY433" s="64"/>
      <c r="IZ433" s="64"/>
      <c r="JA433" s="64"/>
      <c r="JB433" s="64"/>
      <c r="JC433" s="64"/>
      <c r="JD433" s="64"/>
      <c r="JE433" s="64"/>
      <c r="JF433" s="64"/>
      <c r="JG433" s="64"/>
      <c r="JH433" s="64"/>
      <c r="JI433" s="64"/>
    </row>
    <row r="434" spans="1:269" s="920" customFormat="1" x14ac:dyDescent="0.2">
      <c r="A434" s="116"/>
      <c r="B434" s="64"/>
      <c r="C434" s="64"/>
      <c r="D434" s="64"/>
      <c r="E434" s="64"/>
      <c r="F434" s="64"/>
      <c r="G434" s="64"/>
      <c r="H434" s="64"/>
      <c r="I434" s="64"/>
      <c r="J434" s="116"/>
      <c r="K434" s="116"/>
      <c r="L434" s="116"/>
      <c r="M434" s="116"/>
      <c r="N434" s="116"/>
      <c r="O434" s="116"/>
      <c r="P434" s="116"/>
      <c r="Q434" s="102"/>
      <c r="R434" s="102"/>
      <c r="S434" s="102"/>
      <c r="T434" s="102"/>
      <c r="U434" s="913"/>
      <c r="V434" s="114"/>
      <c r="W434" s="805"/>
      <c r="X434" s="805"/>
      <c r="Y434" s="805"/>
      <c r="Z434" s="914"/>
      <c r="AA434" s="102"/>
      <c r="AB434" s="102"/>
      <c r="AC434" s="102"/>
      <c r="AD434" s="102"/>
      <c r="AE434" s="102"/>
      <c r="AF434" s="102"/>
      <c r="AG434" s="102"/>
      <c r="AH434" s="102"/>
      <c r="AI434" s="102"/>
      <c r="AJ434" s="906"/>
      <c r="AK434" s="102"/>
      <c r="AL434" s="915"/>
      <c r="AM434" s="915"/>
      <c r="AN434" s="114"/>
      <c r="AO434" s="64"/>
      <c r="AP434" s="64"/>
      <c r="AQ434" s="64"/>
      <c r="AR434" s="916"/>
      <c r="AS434" s="916"/>
      <c r="AT434" s="916"/>
      <c r="AU434" s="917"/>
      <c r="AV434" s="917"/>
      <c r="AW434" s="917"/>
      <c r="AX434" s="918"/>
      <c r="AY434" s="916"/>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917"/>
      <c r="CA434" s="917"/>
      <c r="CB434" s="64"/>
      <c r="CC434" s="919"/>
      <c r="CD434" s="919"/>
      <c r="CE434" s="64"/>
      <c r="CF434" s="528"/>
      <c r="CG434" s="529"/>
      <c r="CH434" s="64"/>
      <c r="CI434" s="64"/>
      <c r="CJ434" s="64"/>
      <c r="CK434" s="64"/>
      <c r="CL434" s="64"/>
      <c r="CM434" s="64"/>
      <c r="CN434" s="64"/>
      <c r="CO434" s="64"/>
      <c r="CP434" s="64"/>
      <c r="CQ434" s="64"/>
      <c r="CR434" s="64"/>
      <c r="CS434" s="64"/>
      <c r="CT434" s="64"/>
      <c r="CU434" s="64"/>
      <c r="CV434" s="64"/>
      <c r="CW434" s="64"/>
      <c r="CX434" s="64"/>
      <c r="CY434" s="1011"/>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c r="FC434" s="64"/>
      <c r="FD434" s="64"/>
      <c r="FE434" s="64"/>
      <c r="FF434" s="64"/>
      <c r="FG434" s="64"/>
      <c r="FH434" s="64"/>
      <c r="FI434" s="64"/>
      <c r="FJ434" s="64"/>
      <c r="FK434" s="64"/>
      <c r="FL434" s="64"/>
      <c r="FM434" s="64"/>
      <c r="FN434" s="64"/>
      <c r="FO434" s="64"/>
      <c r="FP434" s="64"/>
      <c r="FQ434" s="64"/>
      <c r="FR434" s="64"/>
      <c r="FS434" s="64"/>
      <c r="FT434" s="64"/>
      <c r="FU434" s="64"/>
      <c r="FV434" s="64"/>
      <c r="FW434" s="64"/>
      <c r="FX434" s="64"/>
      <c r="FY434" s="64"/>
      <c r="FZ434" s="64"/>
      <c r="GA434" s="64"/>
      <c r="GB434" s="64"/>
      <c r="GC434" s="64"/>
      <c r="GD434" s="64"/>
      <c r="GE434" s="64"/>
      <c r="GF434" s="64"/>
      <c r="GG434" s="64"/>
      <c r="GH434" s="64"/>
      <c r="GI434" s="64"/>
      <c r="GJ434" s="64"/>
      <c r="GK434" s="64"/>
      <c r="GL434" s="64"/>
      <c r="GM434" s="64"/>
      <c r="GN434" s="64"/>
      <c r="GO434" s="64"/>
      <c r="GP434" s="64"/>
      <c r="GQ434" s="64"/>
      <c r="GR434" s="64"/>
      <c r="GS434" s="64"/>
      <c r="GT434" s="64"/>
      <c r="GU434" s="64"/>
      <c r="GV434" s="64"/>
      <c r="GW434" s="64"/>
      <c r="GX434" s="64"/>
      <c r="GY434" s="64"/>
      <c r="GZ434" s="64"/>
      <c r="HA434" s="64"/>
      <c r="HB434" s="64"/>
      <c r="HC434" s="64"/>
      <c r="HD434" s="64"/>
      <c r="HE434" s="64"/>
      <c r="HF434" s="64"/>
      <c r="HG434" s="64"/>
      <c r="HH434" s="64"/>
      <c r="HI434" s="64"/>
      <c r="HJ434" s="64"/>
      <c r="HK434" s="64"/>
      <c r="HL434" s="64"/>
      <c r="HM434" s="64"/>
      <c r="HN434" s="64"/>
      <c r="HO434" s="64"/>
      <c r="HP434" s="64"/>
      <c r="HQ434" s="64"/>
      <c r="HR434" s="64"/>
      <c r="HS434" s="64"/>
      <c r="HT434" s="64"/>
      <c r="HU434" s="64"/>
      <c r="HV434" s="64"/>
      <c r="HW434" s="64"/>
      <c r="HX434" s="64"/>
      <c r="HY434" s="64"/>
      <c r="HZ434" s="64"/>
      <c r="IA434" s="64"/>
      <c r="IB434" s="64"/>
      <c r="IC434" s="64"/>
      <c r="ID434" s="64"/>
      <c r="IE434" s="64"/>
      <c r="IF434" s="64"/>
      <c r="IG434" s="64"/>
      <c r="IH434" s="64"/>
      <c r="II434" s="64"/>
      <c r="IJ434" s="64"/>
      <c r="IK434" s="64"/>
      <c r="IL434" s="64"/>
      <c r="IM434" s="64"/>
      <c r="IN434" s="64"/>
      <c r="IO434" s="64"/>
      <c r="IP434" s="64"/>
      <c r="IQ434" s="64"/>
      <c r="IR434" s="64"/>
      <c r="IS434" s="64"/>
      <c r="IT434" s="64"/>
      <c r="IU434" s="64"/>
      <c r="IV434" s="64"/>
      <c r="IW434" s="64"/>
      <c r="IX434" s="64"/>
      <c r="IY434" s="64"/>
      <c r="IZ434" s="64"/>
      <c r="JA434" s="64"/>
      <c r="JB434" s="64"/>
      <c r="JC434" s="64"/>
      <c r="JD434" s="64"/>
      <c r="JE434" s="64"/>
      <c r="JF434" s="64"/>
      <c r="JG434" s="64"/>
      <c r="JH434" s="64"/>
      <c r="JI434" s="64"/>
    </row>
    <row r="435" spans="1:269" s="920" customFormat="1" x14ac:dyDescent="0.2">
      <c r="A435" s="116"/>
      <c r="B435" s="64"/>
      <c r="C435" s="64"/>
      <c r="D435" s="64"/>
      <c r="E435" s="64"/>
      <c r="F435" s="64"/>
      <c r="G435" s="64"/>
      <c r="H435" s="64"/>
      <c r="I435" s="64"/>
      <c r="J435" s="116"/>
      <c r="K435" s="116"/>
      <c r="L435" s="116"/>
      <c r="M435" s="116"/>
      <c r="N435" s="116"/>
      <c r="O435" s="116"/>
      <c r="P435" s="116"/>
      <c r="Q435" s="102"/>
      <c r="R435" s="102"/>
      <c r="S435" s="102"/>
      <c r="T435" s="102"/>
      <c r="U435" s="913"/>
      <c r="V435" s="114"/>
      <c r="W435" s="805"/>
      <c r="X435" s="805"/>
      <c r="Y435" s="805"/>
      <c r="Z435" s="914"/>
      <c r="AA435" s="102"/>
      <c r="AB435" s="102"/>
      <c r="AC435" s="102"/>
      <c r="AD435" s="102"/>
      <c r="AE435" s="102"/>
      <c r="AF435" s="102"/>
      <c r="AG435" s="102"/>
      <c r="AH435" s="102"/>
      <c r="AI435" s="102"/>
      <c r="AJ435" s="906"/>
      <c r="AK435" s="102"/>
      <c r="AL435" s="915"/>
      <c r="AM435" s="915"/>
      <c r="AN435" s="114"/>
      <c r="AO435" s="64"/>
      <c r="AP435" s="64"/>
      <c r="AQ435" s="64"/>
      <c r="AR435" s="916"/>
      <c r="AS435" s="916"/>
      <c r="AT435" s="916"/>
      <c r="AU435" s="917"/>
      <c r="AV435" s="917"/>
      <c r="AW435" s="917"/>
      <c r="AX435" s="918"/>
      <c r="AY435" s="916"/>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917"/>
      <c r="CA435" s="917"/>
      <c r="CB435" s="64"/>
      <c r="CC435" s="919"/>
      <c r="CD435" s="919"/>
      <c r="CE435" s="64"/>
      <c r="CF435" s="528"/>
      <c r="CG435" s="529"/>
      <c r="CH435" s="64"/>
      <c r="CI435" s="64"/>
      <c r="CJ435" s="64"/>
      <c r="CK435" s="64"/>
      <c r="CL435" s="64"/>
      <c r="CM435" s="64"/>
      <c r="CN435" s="64"/>
      <c r="CO435" s="64"/>
      <c r="CP435" s="64"/>
      <c r="CQ435" s="64"/>
      <c r="CR435" s="64"/>
      <c r="CS435" s="64"/>
      <c r="CT435" s="64"/>
      <c r="CU435" s="64"/>
      <c r="CV435" s="64"/>
      <c r="CW435" s="64"/>
      <c r="CX435" s="64"/>
      <c r="CY435" s="1011"/>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c r="FC435" s="64"/>
      <c r="FD435" s="64"/>
      <c r="FE435" s="64"/>
      <c r="FF435" s="64"/>
      <c r="FG435" s="64"/>
      <c r="FH435" s="64"/>
      <c r="FI435" s="64"/>
      <c r="FJ435" s="64"/>
      <c r="FK435" s="64"/>
      <c r="FL435" s="64"/>
      <c r="FM435" s="64"/>
      <c r="FN435" s="64"/>
      <c r="FO435" s="64"/>
      <c r="FP435" s="64"/>
      <c r="FQ435" s="64"/>
      <c r="FR435" s="64"/>
      <c r="FS435" s="64"/>
      <c r="FT435" s="64"/>
      <c r="FU435" s="64"/>
      <c r="FV435" s="64"/>
      <c r="FW435" s="64"/>
      <c r="FX435" s="64"/>
      <c r="FY435" s="64"/>
      <c r="FZ435" s="64"/>
      <c r="GA435" s="64"/>
      <c r="GB435" s="64"/>
      <c r="GC435" s="64"/>
      <c r="GD435" s="64"/>
      <c r="GE435" s="64"/>
      <c r="GF435" s="64"/>
      <c r="GG435" s="64"/>
      <c r="GH435" s="64"/>
      <c r="GI435" s="64"/>
      <c r="GJ435" s="64"/>
      <c r="GK435" s="64"/>
      <c r="GL435" s="64"/>
      <c r="GM435" s="64"/>
      <c r="GN435" s="64"/>
      <c r="GO435" s="64"/>
      <c r="GP435" s="64"/>
      <c r="GQ435" s="64"/>
      <c r="GR435" s="64"/>
      <c r="GS435" s="64"/>
      <c r="GT435" s="64"/>
      <c r="GU435" s="64"/>
      <c r="GV435" s="64"/>
      <c r="GW435" s="64"/>
      <c r="GX435" s="64"/>
      <c r="GY435" s="64"/>
      <c r="GZ435" s="64"/>
      <c r="HA435" s="64"/>
      <c r="HB435" s="64"/>
      <c r="HC435" s="64"/>
      <c r="HD435" s="64"/>
      <c r="HE435" s="64"/>
      <c r="HF435" s="64"/>
      <c r="HG435" s="64"/>
      <c r="HH435" s="64"/>
      <c r="HI435" s="64"/>
      <c r="HJ435" s="64"/>
      <c r="HK435" s="64"/>
      <c r="HL435" s="64"/>
      <c r="HM435" s="64"/>
      <c r="HN435" s="64"/>
      <c r="HO435" s="64"/>
      <c r="HP435" s="64"/>
      <c r="HQ435" s="64"/>
      <c r="HR435" s="64"/>
      <c r="HS435" s="64"/>
      <c r="HT435" s="64"/>
      <c r="HU435" s="64"/>
      <c r="HV435" s="64"/>
      <c r="HW435" s="64"/>
      <c r="HX435" s="64"/>
      <c r="HY435" s="64"/>
      <c r="HZ435" s="64"/>
      <c r="IA435" s="64"/>
      <c r="IB435" s="64"/>
      <c r="IC435" s="64"/>
      <c r="ID435" s="64"/>
      <c r="IE435" s="64"/>
      <c r="IF435" s="64"/>
      <c r="IG435" s="64"/>
      <c r="IH435" s="64"/>
      <c r="II435" s="64"/>
      <c r="IJ435" s="64"/>
      <c r="IK435" s="64"/>
      <c r="IL435" s="64"/>
      <c r="IM435" s="64"/>
      <c r="IN435" s="64"/>
      <c r="IO435" s="64"/>
      <c r="IP435" s="64"/>
      <c r="IQ435" s="64"/>
      <c r="IR435" s="64"/>
      <c r="IS435" s="64"/>
      <c r="IT435" s="64"/>
      <c r="IU435" s="64"/>
      <c r="IV435" s="64"/>
      <c r="IW435" s="64"/>
      <c r="IX435" s="64"/>
      <c r="IY435" s="64"/>
      <c r="IZ435" s="64"/>
      <c r="JA435" s="64"/>
      <c r="JB435" s="64"/>
      <c r="JC435" s="64"/>
      <c r="JD435" s="64"/>
      <c r="JE435" s="64"/>
      <c r="JF435" s="64"/>
      <c r="JG435" s="64"/>
      <c r="JH435" s="64"/>
      <c r="JI435" s="64"/>
    </row>
    <row r="436" spans="1:269" s="920" customFormat="1" x14ac:dyDescent="0.2">
      <c r="A436" s="116"/>
      <c r="B436" s="64"/>
      <c r="C436" s="64"/>
      <c r="D436" s="64"/>
      <c r="E436" s="64"/>
      <c r="F436" s="64"/>
      <c r="G436" s="64"/>
      <c r="H436" s="64"/>
      <c r="I436" s="64"/>
      <c r="J436" s="116"/>
      <c r="K436" s="116"/>
      <c r="L436" s="116"/>
      <c r="M436" s="116"/>
      <c r="N436" s="116"/>
      <c r="O436" s="116"/>
      <c r="P436" s="116"/>
      <c r="Q436" s="102"/>
      <c r="R436" s="102"/>
      <c r="S436" s="102"/>
      <c r="T436" s="102"/>
      <c r="U436" s="913"/>
      <c r="V436" s="114"/>
      <c r="W436" s="805"/>
      <c r="X436" s="805"/>
      <c r="Y436" s="805"/>
      <c r="Z436" s="914"/>
      <c r="AA436" s="102"/>
      <c r="AB436" s="102"/>
      <c r="AC436" s="102"/>
      <c r="AD436" s="102"/>
      <c r="AE436" s="102"/>
      <c r="AF436" s="102"/>
      <c r="AG436" s="102"/>
      <c r="AH436" s="102"/>
      <c r="AI436" s="102"/>
      <c r="AJ436" s="906"/>
      <c r="AK436" s="102"/>
      <c r="AL436" s="915"/>
      <c r="AM436" s="915"/>
      <c r="AN436" s="114"/>
      <c r="AO436" s="64"/>
      <c r="AP436" s="64"/>
      <c r="AQ436" s="64"/>
      <c r="AR436" s="916"/>
      <c r="AS436" s="916"/>
      <c r="AT436" s="916"/>
      <c r="AU436" s="917"/>
      <c r="AV436" s="917"/>
      <c r="AW436" s="917"/>
      <c r="AX436" s="918"/>
      <c r="AY436" s="916"/>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917"/>
      <c r="CA436" s="917"/>
      <c r="CB436" s="64"/>
      <c r="CC436" s="919"/>
      <c r="CD436" s="919"/>
      <c r="CE436" s="64"/>
      <c r="CF436" s="528"/>
      <c r="CG436" s="529"/>
      <c r="CH436" s="64"/>
      <c r="CI436" s="64"/>
      <c r="CJ436" s="64"/>
      <c r="CK436" s="64"/>
      <c r="CL436" s="64"/>
      <c r="CM436" s="64"/>
      <c r="CN436" s="64"/>
      <c r="CO436" s="64"/>
      <c r="CP436" s="64"/>
      <c r="CQ436" s="64"/>
      <c r="CR436" s="64"/>
      <c r="CS436" s="64"/>
      <c r="CT436" s="64"/>
      <c r="CU436" s="64"/>
      <c r="CV436" s="64"/>
      <c r="CW436" s="64"/>
      <c r="CX436" s="64"/>
      <c r="CY436" s="1011"/>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c r="FC436" s="64"/>
      <c r="FD436" s="64"/>
      <c r="FE436" s="64"/>
      <c r="FF436" s="64"/>
      <c r="FG436" s="64"/>
      <c r="FH436" s="64"/>
      <c r="FI436" s="64"/>
      <c r="FJ436" s="64"/>
      <c r="FK436" s="64"/>
      <c r="FL436" s="64"/>
      <c r="FM436" s="64"/>
      <c r="FN436" s="64"/>
      <c r="FO436" s="64"/>
      <c r="FP436" s="64"/>
      <c r="FQ436" s="64"/>
      <c r="FR436" s="64"/>
      <c r="FS436" s="64"/>
      <c r="FT436" s="64"/>
      <c r="FU436" s="64"/>
      <c r="FV436" s="64"/>
      <c r="FW436" s="64"/>
      <c r="FX436" s="64"/>
      <c r="FY436" s="64"/>
      <c r="FZ436" s="64"/>
      <c r="GA436" s="64"/>
      <c r="GB436" s="64"/>
      <c r="GC436" s="64"/>
      <c r="GD436" s="64"/>
      <c r="GE436" s="64"/>
      <c r="GF436" s="64"/>
      <c r="GG436" s="64"/>
      <c r="GH436" s="64"/>
      <c r="GI436" s="64"/>
      <c r="GJ436" s="64"/>
      <c r="GK436" s="64"/>
      <c r="GL436" s="64"/>
      <c r="GM436" s="64"/>
      <c r="GN436" s="64"/>
      <c r="GO436" s="64"/>
      <c r="GP436" s="64"/>
      <c r="GQ436" s="64"/>
      <c r="GR436" s="64"/>
      <c r="GS436" s="64"/>
      <c r="GT436" s="64"/>
      <c r="GU436" s="64"/>
      <c r="GV436" s="64"/>
      <c r="GW436" s="64"/>
      <c r="GX436" s="64"/>
      <c r="GY436" s="64"/>
      <c r="GZ436" s="64"/>
      <c r="HA436" s="64"/>
      <c r="HB436" s="64"/>
      <c r="HC436" s="64"/>
      <c r="HD436" s="64"/>
      <c r="HE436" s="64"/>
      <c r="HF436" s="64"/>
      <c r="HG436" s="64"/>
      <c r="HH436" s="64"/>
      <c r="HI436" s="64"/>
      <c r="HJ436" s="64"/>
      <c r="HK436" s="64"/>
      <c r="HL436" s="64"/>
      <c r="HM436" s="64"/>
      <c r="HN436" s="64"/>
      <c r="HO436" s="64"/>
      <c r="HP436" s="64"/>
      <c r="HQ436" s="64"/>
      <c r="HR436" s="64"/>
      <c r="HS436" s="64"/>
      <c r="HT436" s="64"/>
      <c r="HU436" s="64"/>
      <c r="HV436" s="64"/>
      <c r="HW436" s="64"/>
      <c r="HX436" s="64"/>
      <c r="HY436" s="64"/>
      <c r="HZ436" s="64"/>
      <c r="IA436" s="64"/>
      <c r="IB436" s="64"/>
      <c r="IC436" s="64"/>
      <c r="ID436" s="64"/>
      <c r="IE436" s="64"/>
      <c r="IF436" s="64"/>
      <c r="IG436" s="64"/>
      <c r="IH436" s="64"/>
      <c r="II436" s="64"/>
      <c r="IJ436" s="64"/>
      <c r="IK436" s="64"/>
      <c r="IL436" s="64"/>
      <c r="IM436" s="64"/>
      <c r="IN436" s="64"/>
      <c r="IO436" s="64"/>
      <c r="IP436" s="64"/>
      <c r="IQ436" s="64"/>
      <c r="IR436" s="64"/>
      <c r="IS436" s="64"/>
      <c r="IT436" s="64"/>
      <c r="IU436" s="64"/>
      <c r="IV436" s="64"/>
      <c r="IW436" s="64"/>
      <c r="IX436" s="64"/>
      <c r="IY436" s="64"/>
      <c r="IZ436" s="64"/>
      <c r="JA436" s="64"/>
      <c r="JB436" s="64"/>
      <c r="JC436" s="64"/>
      <c r="JD436" s="64"/>
      <c r="JE436" s="64"/>
      <c r="JF436" s="64"/>
      <c r="JG436" s="64"/>
      <c r="JH436" s="64"/>
      <c r="JI436" s="64"/>
    </row>
    <row r="437" spans="1:269" s="920" customFormat="1" x14ac:dyDescent="0.2">
      <c r="A437" s="116"/>
      <c r="B437" s="64"/>
      <c r="C437" s="64"/>
      <c r="D437" s="64"/>
      <c r="E437" s="64"/>
      <c r="F437" s="64"/>
      <c r="G437" s="64"/>
      <c r="H437" s="64"/>
      <c r="I437" s="64"/>
      <c r="J437" s="116"/>
      <c r="K437" s="116"/>
      <c r="L437" s="116"/>
      <c r="M437" s="116"/>
      <c r="N437" s="116"/>
      <c r="O437" s="116"/>
      <c r="P437" s="116"/>
      <c r="Q437" s="102"/>
      <c r="R437" s="102"/>
      <c r="S437" s="102"/>
      <c r="T437" s="102"/>
      <c r="U437" s="913"/>
      <c r="V437" s="114"/>
      <c r="W437" s="805"/>
      <c r="X437" s="805"/>
      <c r="Y437" s="805"/>
      <c r="Z437" s="914"/>
      <c r="AA437" s="102"/>
      <c r="AB437" s="102"/>
      <c r="AC437" s="102"/>
      <c r="AD437" s="102"/>
      <c r="AE437" s="102"/>
      <c r="AF437" s="102"/>
      <c r="AG437" s="102"/>
      <c r="AH437" s="102"/>
      <c r="AI437" s="102"/>
      <c r="AJ437" s="906"/>
      <c r="AK437" s="102"/>
      <c r="AL437" s="915"/>
      <c r="AM437" s="915"/>
      <c r="AN437" s="114"/>
      <c r="AO437" s="64"/>
      <c r="AP437" s="64"/>
      <c r="AQ437" s="64"/>
      <c r="AR437" s="916"/>
      <c r="AS437" s="916"/>
      <c r="AT437" s="916"/>
      <c r="AU437" s="917"/>
      <c r="AV437" s="917"/>
      <c r="AW437" s="917"/>
      <c r="AX437" s="918"/>
      <c r="AY437" s="916"/>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917"/>
      <c r="CA437" s="917"/>
      <c r="CB437" s="64"/>
      <c r="CC437" s="919"/>
      <c r="CD437" s="919"/>
      <c r="CE437" s="64"/>
      <c r="CF437" s="528"/>
      <c r="CG437" s="529"/>
      <c r="CH437" s="64"/>
      <c r="CI437" s="64"/>
      <c r="CJ437" s="64"/>
      <c r="CK437" s="64"/>
      <c r="CL437" s="64"/>
      <c r="CM437" s="64"/>
      <c r="CN437" s="64"/>
      <c r="CO437" s="64"/>
      <c r="CP437" s="64"/>
      <c r="CQ437" s="64"/>
      <c r="CR437" s="64"/>
      <c r="CS437" s="64"/>
      <c r="CT437" s="64"/>
      <c r="CU437" s="64"/>
      <c r="CV437" s="64"/>
      <c r="CW437" s="64"/>
      <c r="CX437" s="64"/>
      <c r="CY437" s="1011"/>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c r="FC437" s="64"/>
      <c r="FD437" s="64"/>
      <c r="FE437" s="64"/>
      <c r="FF437" s="64"/>
      <c r="FG437" s="64"/>
      <c r="FH437" s="64"/>
      <c r="FI437" s="64"/>
      <c r="FJ437" s="64"/>
      <c r="FK437" s="64"/>
      <c r="FL437" s="64"/>
      <c r="FM437" s="64"/>
      <c r="FN437" s="64"/>
      <c r="FO437" s="64"/>
      <c r="FP437" s="64"/>
      <c r="FQ437" s="64"/>
      <c r="FR437" s="64"/>
      <c r="FS437" s="64"/>
      <c r="FT437" s="64"/>
      <c r="FU437" s="64"/>
      <c r="FV437" s="64"/>
      <c r="FW437" s="64"/>
      <c r="FX437" s="64"/>
      <c r="FY437" s="64"/>
      <c r="FZ437" s="64"/>
      <c r="GA437" s="64"/>
      <c r="GB437" s="64"/>
      <c r="GC437" s="64"/>
      <c r="GD437" s="64"/>
      <c r="GE437" s="64"/>
      <c r="GF437" s="64"/>
      <c r="GG437" s="64"/>
      <c r="GH437" s="64"/>
      <c r="GI437" s="64"/>
      <c r="GJ437" s="64"/>
      <c r="GK437" s="64"/>
      <c r="GL437" s="64"/>
      <c r="GM437" s="64"/>
      <c r="GN437" s="64"/>
      <c r="GO437" s="64"/>
      <c r="GP437" s="64"/>
      <c r="GQ437" s="64"/>
      <c r="GR437" s="64"/>
      <c r="GS437" s="64"/>
      <c r="GT437" s="64"/>
      <c r="GU437" s="64"/>
      <c r="GV437" s="64"/>
      <c r="GW437" s="64"/>
      <c r="GX437" s="64"/>
      <c r="GY437" s="64"/>
      <c r="GZ437" s="64"/>
      <c r="HA437" s="64"/>
      <c r="HB437" s="64"/>
      <c r="HC437" s="64"/>
      <c r="HD437" s="64"/>
      <c r="HE437" s="64"/>
      <c r="HF437" s="64"/>
      <c r="HG437" s="64"/>
      <c r="HH437" s="64"/>
      <c r="HI437" s="64"/>
      <c r="HJ437" s="64"/>
      <c r="HK437" s="64"/>
      <c r="HL437" s="64"/>
      <c r="HM437" s="64"/>
      <c r="HN437" s="64"/>
      <c r="HO437" s="64"/>
      <c r="HP437" s="64"/>
      <c r="HQ437" s="64"/>
      <c r="HR437" s="64"/>
      <c r="HS437" s="64"/>
      <c r="HT437" s="64"/>
      <c r="HU437" s="64"/>
      <c r="HV437" s="64"/>
      <c r="HW437" s="64"/>
      <c r="HX437" s="64"/>
      <c r="HY437" s="64"/>
      <c r="HZ437" s="64"/>
      <c r="IA437" s="64"/>
      <c r="IB437" s="64"/>
      <c r="IC437" s="64"/>
      <c r="ID437" s="64"/>
      <c r="IE437" s="64"/>
      <c r="IF437" s="64"/>
      <c r="IG437" s="64"/>
      <c r="IH437" s="64"/>
      <c r="II437" s="64"/>
      <c r="IJ437" s="64"/>
      <c r="IK437" s="64"/>
      <c r="IL437" s="64"/>
      <c r="IM437" s="64"/>
      <c r="IN437" s="64"/>
      <c r="IO437" s="64"/>
      <c r="IP437" s="64"/>
      <c r="IQ437" s="64"/>
      <c r="IR437" s="64"/>
      <c r="IS437" s="64"/>
      <c r="IT437" s="64"/>
      <c r="IU437" s="64"/>
      <c r="IV437" s="64"/>
      <c r="IW437" s="64"/>
      <c r="IX437" s="64"/>
      <c r="IY437" s="64"/>
      <c r="IZ437" s="64"/>
      <c r="JA437" s="64"/>
      <c r="JB437" s="64"/>
      <c r="JC437" s="64"/>
      <c r="JD437" s="64"/>
      <c r="JE437" s="64"/>
      <c r="JF437" s="64"/>
      <c r="JG437" s="64"/>
      <c r="JH437" s="64"/>
      <c r="JI437" s="64"/>
    </row>
    <row r="438" spans="1:269" s="920" customFormat="1" x14ac:dyDescent="0.2">
      <c r="A438" s="116"/>
      <c r="B438" s="64"/>
      <c r="C438" s="64"/>
      <c r="D438" s="64"/>
      <c r="E438" s="64"/>
      <c r="F438" s="64"/>
      <c r="G438" s="64"/>
      <c r="H438" s="64"/>
      <c r="I438" s="64"/>
      <c r="J438" s="116"/>
      <c r="K438" s="116"/>
      <c r="L438" s="116"/>
      <c r="M438" s="116"/>
      <c r="N438" s="116"/>
      <c r="O438" s="116"/>
      <c r="P438" s="116"/>
      <c r="Q438" s="102"/>
      <c r="R438" s="102"/>
      <c r="S438" s="102"/>
      <c r="T438" s="102"/>
      <c r="U438" s="913"/>
      <c r="V438" s="114"/>
      <c r="W438" s="805"/>
      <c r="X438" s="805"/>
      <c r="Y438" s="805"/>
      <c r="Z438" s="914"/>
      <c r="AA438" s="102"/>
      <c r="AB438" s="102"/>
      <c r="AC438" s="102"/>
      <c r="AD438" s="102"/>
      <c r="AE438" s="102"/>
      <c r="AF438" s="102"/>
      <c r="AG438" s="102"/>
      <c r="AH438" s="102"/>
      <c r="AI438" s="102"/>
      <c r="AJ438" s="906"/>
      <c r="AK438" s="102"/>
      <c r="AL438" s="915"/>
      <c r="AM438" s="915"/>
      <c r="AN438" s="114"/>
      <c r="AO438" s="64"/>
      <c r="AP438" s="64"/>
      <c r="AQ438" s="64"/>
      <c r="AR438" s="916"/>
      <c r="AS438" s="916"/>
      <c r="AT438" s="916"/>
      <c r="AU438" s="917"/>
      <c r="AV438" s="917"/>
      <c r="AW438" s="917"/>
      <c r="AX438" s="918"/>
      <c r="AY438" s="916"/>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917"/>
      <c r="CA438" s="917"/>
      <c r="CB438" s="64"/>
      <c r="CC438" s="919"/>
      <c r="CD438" s="919"/>
      <c r="CE438" s="64"/>
      <c r="CF438" s="528"/>
      <c r="CG438" s="529"/>
      <c r="CH438" s="64"/>
      <c r="CI438" s="64"/>
      <c r="CJ438" s="64"/>
      <c r="CK438" s="64"/>
      <c r="CL438" s="64"/>
      <c r="CM438" s="64"/>
      <c r="CN438" s="64"/>
      <c r="CO438" s="64"/>
      <c r="CP438" s="64"/>
      <c r="CQ438" s="64"/>
      <c r="CR438" s="64"/>
      <c r="CS438" s="64"/>
      <c r="CT438" s="64"/>
      <c r="CU438" s="64"/>
      <c r="CV438" s="64"/>
      <c r="CW438" s="64"/>
      <c r="CX438" s="64"/>
      <c r="CY438" s="1011"/>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c r="FC438" s="64"/>
      <c r="FD438" s="64"/>
      <c r="FE438" s="64"/>
      <c r="FF438" s="64"/>
      <c r="FG438" s="64"/>
      <c r="FH438" s="64"/>
      <c r="FI438" s="64"/>
      <c r="FJ438" s="64"/>
      <c r="FK438" s="64"/>
      <c r="FL438" s="64"/>
      <c r="FM438" s="64"/>
      <c r="FN438" s="64"/>
      <c r="FO438" s="64"/>
      <c r="FP438" s="64"/>
      <c r="FQ438" s="64"/>
      <c r="FR438" s="64"/>
      <c r="FS438" s="64"/>
      <c r="FT438" s="64"/>
      <c r="FU438" s="64"/>
      <c r="FV438" s="64"/>
      <c r="FW438" s="64"/>
      <c r="FX438" s="64"/>
      <c r="FY438" s="64"/>
      <c r="FZ438" s="64"/>
      <c r="GA438" s="64"/>
      <c r="GB438" s="64"/>
      <c r="GC438" s="64"/>
      <c r="GD438" s="64"/>
      <c r="GE438" s="64"/>
      <c r="GF438" s="64"/>
      <c r="GG438" s="64"/>
      <c r="GH438" s="64"/>
      <c r="GI438" s="64"/>
      <c r="GJ438" s="64"/>
      <c r="GK438" s="64"/>
      <c r="GL438" s="64"/>
      <c r="GM438" s="64"/>
      <c r="GN438" s="64"/>
      <c r="GO438" s="64"/>
      <c r="GP438" s="64"/>
      <c r="GQ438" s="64"/>
      <c r="GR438" s="64"/>
      <c r="GS438" s="64"/>
      <c r="GT438" s="64"/>
      <c r="GU438" s="64"/>
      <c r="GV438" s="64"/>
      <c r="GW438" s="64"/>
      <c r="GX438" s="64"/>
      <c r="GY438" s="64"/>
      <c r="GZ438" s="64"/>
      <c r="HA438" s="64"/>
      <c r="HB438" s="64"/>
      <c r="HC438" s="64"/>
      <c r="HD438" s="64"/>
      <c r="HE438" s="64"/>
      <c r="HF438" s="64"/>
      <c r="HG438" s="64"/>
      <c r="HH438" s="64"/>
      <c r="HI438" s="64"/>
      <c r="HJ438" s="64"/>
      <c r="HK438" s="64"/>
      <c r="HL438" s="64"/>
      <c r="HM438" s="64"/>
      <c r="HN438" s="64"/>
      <c r="HO438" s="64"/>
      <c r="HP438" s="64"/>
      <c r="HQ438" s="64"/>
      <c r="HR438" s="64"/>
      <c r="HS438" s="64"/>
      <c r="HT438" s="64"/>
      <c r="HU438" s="64"/>
      <c r="HV438" s="64"/>
      <c r="HW438" s="64"/>
      <c r="HX438" s="64"/>
      <c r="HY438" s="64"/>
      <c r="HZ438" s="64"/>
      <c r="IA438" s="64"/>
      <c r="IB438" s="64"/>
      <c r="IC438" s="64"/>
      <c r="ID438" s="64"/>
      <c r="IE438" s="64"/>
      <c r="IF438" s="64"/>
      <c r="IG438" s="64"/>
      <c r="IH438" s="64"/>
      <c r="II438" s="64"/>
      <c r="IJ438" s="64"/>
      <c r="IK438" s="64"/>
      <c r="IL438" s="64"/>
      <c r="IM438" s="64"/>
      <c r="IN438" s="64"/>
      <c r="IO438" s="64"/>
      <c r="IP438" s="64"/>
      <c r="IQ438" s="64"/>
      <c r="IR438" s="64"/>
      <c r="IS438" s="64"/>
      <c r="IT438" s="64"/>
      <c r="IU438" s="64"/>
      <c r="IV438" s="64"/>
      <c r="IW438" s="64"/>
      <c r="IX438" s="64"/>
      <c r="IY438" s="64"/>
      <c r="IZ438" s="64"/>
      <c r="JA438" s="64"/>
      <c r="JB438" s="64"/>
      <c r="JC438" s="64"/>
      <c r="JD438" s="64"/>
      <c r="JE438" s="64"/>
      <c r="JF438" s="64"/>
      <c r="JG438" s="64"/>
      <c r="JH438" s="64"/>
      <c r="JI438" s="64"/>
    </row>
    <row r="439" spans="1:269" s="920" customFormat="1" x14ac:dyDescent="0.2">
      <c r="A439" s="116"/>
      <c r="B439" s="64"/>
      <c r="C439" s="64"/>
      <c r="D439" s="64"/>
      <c r="E439" s="64"/>
      <c r="F439" s="64"/>
      <c r="G439" s="64"/>
      <c r="H439" s="64"/>
      <c r="I439" s="64"/>
      <c r="J439" s="116"/>
      <c r="K439" s="116"/>
      <c r="L439" s="116"/>
      <c r="M439" s="116"/>
      <c r="N439" s="116"/>
      <c r="O439" s="116"/>
      <c r="P439" s="116"/>
      <c r="Q439" s="102"/>
      <c r="R439" s="102"/>
      <c r="S439" s="102"/>
      <c r="T439" s="102"/>
      <c r="U439" s="913"/>
      <c r="V439" s="114"/>
      <c r="W439" s="805"/>
      <c r="X439" s="805"/>
      <c r="Y439" s="805"/>
      <c r="Z439" s="914"/>
      <c r="AA439" s="102"/>
      <c r="AB439" s="102"/>
      <c r="AC439" s="102"/>
      <c r="AD439" s="102"/>
      <c r="AE439" s="102"/>
      <c r="AF439" s="102"/>
      <c r="AG439" s="102"/>
      <c r="AH439" s="102"/>
      <c r="AI439" s="102"/>
      <c r="AJ439" s="906"/>
      <c r="AK439" s="102"/>
      <c r="AL439" s="915"/>
      <c r="AM439" s="915"/>
      <c r="AN439" s="114"/>
      <c r="AO439" s="64"/>
      <c r="AP439" s="64"/>
      <c r="AQ439" s="64"/>
      <c r="AR439" s="916"/>
      <c r="AS439" s="916"/>
      <c r="AT439" s="916"/>
      <c r="AU439" s="917"/>
      <c r="AV439" s="917"/>
      <c r="AW439" s="917"/>
      <c r="AX439" s="918"/>
      <c r="AY439" s="916"/>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917"/>
      <c r="CA439" s="917"/>
      <c r="CB439" s="64"/>
      <c r="CC439" s="919"/>
      <c r="CD439" s="919"/>
      <c r="CE439" s="64"/>
      <c r="CF439" s="528"/>
      <c r="CG439" s="529"/>
      <c r="CH439" s="64"/>
      <c r="CI439" s="64"/>
      <c r="CJ439" s="64"/>
      <c r="CK439" s="64"/>
      <c r="CL439" s="64"/>
      <c r="CM439" s="64"/>
      <c r="CN439" s="64"/>
      <c r="CO439" s="64"/>
      <c r="CP439" s="64"/>
      <c r="CQ439" s="64"/>
      <c r="CR439" s="64"/>
      <c r="CS439" s="64"/>
      <c r="CT439" s="64"/>
      <c r="CU439" s="64"/>
      <c r="CV439" s="64"/>
      <c r="CW439" s="64"/>
      <c r="CX439" s="64"/>
      <c r="CY439" s="1011"/>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c r="FC439" s="64"/>
      <c r="FD439" s="64"/>
      <c r="FE439" s="64"/>
      <c r="FF439" s="64"/>
      <c r="FG439" s="64"/>
      <c r="FH439" s="64"/>
      <c r="FI439" s="64"/>
      <c r="FJ439" s="64"/>
      <c r="FK439" s="64"/>
      <c r="FL439" s="64"/>
      <c r="FM439" s="64"/>
      <c r="FN439" s="64"/>
      <c r="FO439" s="64"/>
      <c r="FP439" s="64"/>
      <c r="FQ439" s="64"/>
      <c r="FR439" s="64"/>
      <c r="FS439" s="64"/>
      <c r="FT439" s="64"/>
      <c r="FU439" s="64"/>
      <c r="FV439" s="64"/>
      <c r="FW439" s="64"/>
      <c r="FX439" s="64"/>
      <c r="FY439" s="64"/>
      <c r="FZ439" s="64"/>
      <c r="GA439" s="64"/>
      <c r="GB439" s="64"/>
      <c r="GC439" s="64"/>
      <c r="GD439" s="64"/>
      <c r="GE439" s="64"/>
      <c r="GF439" s="64"/>
      <c r="GG439" s="64"/>
      <c r="GH439" s="64"/>
      <c r="GI439" s="64"/>
      <c r="GJ439" s="64"/>
      <c r="GK439" s="64"/>
      <c r="GL439" s="64"/>
      <c r="GM439" s="64"/>
      <c r="GN439" s="64"/>
      <c r="GO439" s="64"/>
      <c r="GP439" s="64"/>
      <c r="GQ439" s="64"/>
      <c r="GR439" s="64"/>
      <c r="GS439" s="64"/>
      <c r="GT439" s="64"/>
      <c r="GU439" s="64"/>
      <c r="GV439" s="64"/>
      <c r="GW439" s="64"/>
      <c r="GX439" s="64"/>
      <c r="GY439" s="64"/>
      <c r="GZ439" s="64"/>
      <c r="HA439" s="64"/>
      <c r="HB439" s="64"/>
      <c r="HC439" s="64"/>
      <c r="HD439" s="64"/>
      <c r="HE439" s="64"/>
      <c r="HF439" s="64"/>
      <c r="HG439" s="64"/>
      <c r="HH439" s="64"/>
      <c r="HI439" s="64"/>
      <c r="HJ439" s="64"/>
      <c r="HK439" s="64"/>
      <c r="HL439" s="64"/>
      <c r="HM439" s="64"/>
      <c r="HN439" s="64"/>
      <c r="HO439" s="64"/>
      <c r="HP439" s="64"/>
      <c r="HQ439" s="64"/>
      <c r="HR439" s="64"/>
      <c r="HS439" s="64"/>
      <c r="HT439" s="64"/>
      <c r="HU439" s="64"/>
      <c r="HV439" s="64"/>
      <c r="HW439" s="64"/>
      <c r="HX439" s="64"/>
      <c r="HY439" s="64"/>
      <c r="HZ439" s="64"/>
      <c r="IA439" s="64"/>
      <c r="IB439" s="64"/>
      <c r="IC439" s="64"/>
      <c r="ID439" s="64"/>
      <c r="IE439" s="64"/>
      <c r="IF439" s="64"/>
      <c r="IG439" s="64"/>
      <c r="IH439" s="64"/>
      <c r="II439" s="64"/>
      <c r="IJ439" s="64"/>
      <c r="IK439" s="64"/>
      <c r="IL439" s="64"/>
      <c r="IM439" s="64"/>
      <c r="IN439" s="64"/>
      <c r="IO439" s="64"/>
      <c r="IP439" s="64"/>
      <c r="IQ439" s="64"/>
      <c r="IR439" s="64"/>
      <c r="IS439" s="64"/>
      <c r="IT439" s="64"/>
      <c r="IU439" s="64"/>
      <c r="IV439" s="64"/>
      <c r="IW439" s="64"/>
      <c r="IX439" s="64"/>
      <c r="IY439" s="64"/>
      <c r="IZ439" s="64"/>
      <c r="JA439" s="64"/>
      <c r="JB439" s="64"/>
      <c r="JC439" s="64"/>
      <c r="JD439" s="64"/>
      <c r="JE439" s="64"/>
      <c r="JF439" s="64"/>
      <c r="JG439" s="64"/>
      <c r="JH439" s="64"/>
      <c r="JI439" s="64"/>
    </row>
    <row r="440" spans="1:269" s="920" customFormat="1" x14ac:dyDescent="0.2">
      <c r="A440" s="116"/>
      <c r="B440" s="64"/>
      <c r="C440" s="64"/>
      <c r="D440" s="64"/>
      <c r="E440" s="64"/>
      <c r="F440" s="64"/>
      <c r="G440" s="64"/>
      <c r="H440" s="64"/>
      <c r="I440" s="64"/>
      <c r="J440" s="116"/>
      <c r="K440" s="116"/>
      <c r="L440" s="116"/>
      <c r="M440" s="116"/>
      <c r="N440" s="116"/>
      <c r="O440" s="116"/>
      <c r="P440" s="116"/>
      <c r="Q440" s="102"/>
      <c r="R440" s="102"/>
      <c r="S440" s="102"/>
      <c r="T440" s="102"/>
      <c r="U440" s="913"/>
      <c r="V440" s="114"/>
      <c r="W440" s="805"/>
      <c r="X440" s="805"/>
      <c r="Y440" s="805"/>
      <c r="Z440" s="914"/>
      <c r="AA440" s="102"/>
      <c r="AB440" s="102"/>
      <c r="AC440" s="102"/>
      <c r="AD440" s="102"/>
      <c r="AE440" s="102"/>
      <c r="AF440" s="102"/>
      <c r="AG440" s="102"/>
      <c r="AH440" s="102"/>
      <c r="AI440" s="102"/>
      <c r="AJ440" s="906"/>
      <c r="AK440" s="102"/>
      <c r="AL440" s="915"/>
      <c r="AM440" s="915"/>
      <c r="AN440" s="114"/>
      <c r="AO440" s="64"/>
      <c r="AP440" s="64"/>
      <c r="AQ440" s="64"/>
      <c r="AR440" s="916"/>
      <c r="AS440" s="916"/>
      <c r="AT440" s="916"/>
      <c r="AU440" s="917"/>
      <c r="AV440" s="917"/>
      <c r="AW440" s="917"/>
      <c r="AX440" s="918"/>
      <c r="AY440" s="916"/>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917"/>
      <c r="CA440" s="917"/>
      <c r="CB440" s="64"/>
      <c r="CC440" s="919"/>
      <c r="CD440" s="919"/>
      <c r="CE440" s="64"/>
      <c r="CF440" s="528"/>
      <c r="CG440" s="529"/>
      <c r="CH440" s="64"/>
      <c r="CI440" s="64"/>
      <c r="CJ440" s="64"/>
      <c r="CK440" s="64"/>
      <c r="CL440" s="64"/>
      <c r="CM440" s="64"/>
      <c r="CN440" s="64"/>
      <c r="CO440" s="64"/>
      <c r="CP440" s="64"/>
      <c r="CQ440" s="64"/>
      <c r="CR440" s="64"/>
      <c r="CS440" s="64"/>
      <c r="CT440" s="64"/>
      <c r="CU440" s="64"/>
      <c r="CV440" s="64"/>
      <c r="CW440" s="64"/>
      <c r="CX440" s="64"/>
      <c r="CY440" s="1011"/>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c r="FC440" s="64"/>
      <c r="FD440" s="64"/>
      <c r="FE440" s="64"/>
      <c r="FF440" s="64"/>
      <c r="FG440" s="64"/>
      <c r="FH440" s="64"/>
      <c r="FI440" s="64"/>
      <c r="FJ440" s="64"/>
      <c r="FK440" s="64"/>
      <c r="FL440" s="64"/>
      <c r="FM440" s="64"/>
      <c r="FN440" s="64"/>
      <c r="FO440" s="64"/>
      <c r="FP440" s="64"/>
      <c r="FQ440" s="64"/>
      <c r="FR440" s="64"/>
      <c r="FS440" s="64"/>
      <c r="FT440" s="64"/>
      <c r="FU440" s="64"/>
      <c r="FV440" s="64"/>
      <c r="FW440" s="64"/>
      <c r="FX440" s="64"/>
      <c r="FY440" s="64"/>
      <c r="FZ440" s="64"/>
      <c r="GA440" s="64"/>
      <c r="GB440" s="64"/>
      <c r="GC440" s="64"/>
      <c r="GD440" s="64"/>
      <c r="GE440" s="64"/>
      <c r="GF440" s="64"/>
      <c r="GG440" s="64"/>
      <c r="GH440" s="64"/>
      <c r="GI440" s="64"/>
      <c r="GJ440" s="64"/>
      <c r="GK440" s="64"/>
      <c r="GL440" s="64"/>
      <c r="GM440" s="64"/>
      <c r="GN440" s="64"/>
      <c r="GO440" s="64"/>
      <c r="GP440" s="64"/>
      <c r="GQ440" s="64"/>
      <c r="GR440" s="64"/>
      <c r="GS440" s="64"/>
      <c r="GT440" s="64"/>
      <c r="GU440" s="64"/>
      <c r="GV440" s="64"/>
      <c r="GW440" s="64"/>
      <c r="GX440" s="64"/>
      <c r="GY440" s="64"/>
      <c r="GZ440" s="64"/>
      <c r="HA440" s="64"/>
      <c r="HB440" s="64"/>
      <c r="HC440" s="64"/>
      <c r="HD440" s="64"/>
      <c r="HE440" s="64"/>
      <c r="HF440" s="64"/>
      <c r="HG440" s="64"/>
      <c r="HH440" s="64"/>
      <c r="HI440" s="64"/>
      <c r="HJ440" s="64"/>
      <c r="HK440" s="64"/>
      <c r="HL440" s="64"/>
      <c r="HM440" s="64"/>
      <c r="HN440" s="64"/>
      <c r="HO440" s="64"/>
      <c r="HP440" s="64"/>
      <c r="HQ440" s="64"/>
      <c r="HR440" s="64"/>
      <c r="HS440" s="64"/>
      <c r="HT440" s="64"/>
      <c r="HU440" s="64"/>
      <c r="HV440" s="64"/>
      <c r="HW440" s="64"/>
      <c r="HX440" s="64"/>
      <c r="HY440" s="64"/>
      <c r="HZ440" s="64"/>
      <c r="IA440" s="64"/>
      <c r="IB440" s="64"/>
      <c r="IC440" s="64"/>
      <c r="ID440" s="64"/>
      <c r="IE440" s="64"/>
      <c r="IF440" s="64"/>
      <c r="IG440" s="64"/>
      <c r="IH440" s="64"/>
      <c r="II440" s="64"/>
      <c r="IJ440" s="64"/>
      <c r="IK440" s="64"/>
      <c r="IL440" s="64"/>
      <c r="IM440" s="64"/>
      <c r="IN440" s="64"/>
      <c r="IO440" s="64"/>
      <c r="IP440" s="64"/>
      <c r="IQ440" s="64"/>
      <c r="IR440" s="64"/>
      <c r="IS440" s="64"/>
      <c r="IT440" s="64"/>
      <c r="IU440" s="64"/>
      <c r="IV440" s="64"/>
      <c r="IW440" s="64"/>
      <c r="IX440" s="64"/>
      <c r="IY440" s="64"/>
      <c r="IZ440" s="64"/>
      <c r="JA440" s="64"/>
      <c r="JB440" s="64"/>
      <c r="JC440" s="64"/>
      <c r="JD440" s="64"/>
      <c r="JE440" s="64"/>
      <c r="JF440" s="64"/>
      <c r="JG440" s="64"/>
      <c r="JH440" s="64"/>
      <c r="JI440" s="64"/>
    </row>
    <row r="441" spans="1:269" s="920" customFormat="1" x14ac:dyDescent="0.2">
      <c r="A441" s="116"/>
      <c r="B441" s="64"/>
      <c r="C441" s="64"/>
      <c r="D441" s="64"/>
      <c r="E441" s="64"/>
      <c r="F441" s="64"/>
      <c r="G441" s="64"/>
      <c r="H441" s="64"/>
      <c r="I441" s="64"/>
      <c r="J441" s="116"/>
      <c r="K441" s="116"/>
      <c r="L441" s="116"/>
      <c r="M441" s="116"/>
      <c r="N441" s="116"/>
      <c r="O441" s="116"/>
      <c r="P441" s="116"/>
      <c r="Q441" s="102"/>
      <c r="R441" s="102"/>
      <c r="S441" s="102"/>
      <c r="T441" s="102"/>
      <c r="U441" s="913"/>
      <c r="V441" s="114"/>
      <c r="W441" s="805"/>
      <c r="X441" s="805"/>
      <c r="Y441" s="805"/>
      <c r="Z441" s="914"/>
      <c r="AA441" s="102"/>
      <c r="AB441" s="102"/>
      <c r="AC441" s="102"/>
      <c r="AD441" s="102"/>
      <c r="AE441" s="102"/>
      <c r="AF441" s="102"/>
      <c r="AG441" s="102"/>
      <c r="AH441" s="102"/>
      <c r="AI441" s="102"/>
      <c r="AJ441" s="906"/>
      <c r="AK441" s="102"/>
      <c r="AL441" s="915"/>
      <c r="AM441" s="915"/>
      <c r="AN441" s="114"/>
      <c r="AO441" s="64"/>
      <c r="AP441" s="64"/>
      <c r="AQ441" s="64"/>
      <c r="AR441" s="916"/>
      <c r="AS441" s="916"/>
      <c r="AT441" s="916"/>
      <c r="AU441" s="917"/>
      <c r="AV441" s="917"/>
      <c r="AW441" s="917"/>
      <c r="AX441" s="918"/>
      <c r="AY441" s="916"/>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917"/>
      <c r="CA441" s="917"/>
      <c r="CB441" s="64"/>
      <c r="CC441" s="919"/>
      <c r="CD441" s="919"/>
      <c r="CE441" s="64"/>
      <c r="CF441" s="528"/>
      <c r="CG441" s="529"/>
      <c r="CH441" s="64"/>
      <c r="CI441" s="64"/>
      <c r="CJ441" s="64"/>
      <c r="CK441" s="64"/>
      <c r="CL441" s="64"/>
      <c r="CM441" s="64"/>
      <c r="CN441" s="64"/>
      <c r="CO441" s="64"/>
      <c r="CP441" s="64"/>
      <c r="CQ441" s="64"/>
      <c r="CR441" s="64"/>
      <c r="CS441" s="64"/>
      <c r="CT441" s="64"/>
      <c r="CU441" s="64"/>
      <c r="CV441" s="64"/>
      <c r="CW441" s="64"/>
      <c r="CX441" s="64"/>
      <c r="CY441" s="1011"/>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c r="FC441" s="64"/>
      <c r="FD441" s="64"/>
      <c r="FE441" s="64"/>
      <c r="FF441" s="64"/>
      <c r="FG441" s="64"/>
      <c r="FH441" s="64"/>
      <c r="FI441" s="64"/>
      <c r="FJ441" s="64"/>
      <c r="FK441" s="64"/>
      <c r="FL441" s="64"/>
      <c r="FM441" s="64"/>
      <c r="FN441" s="64"/>
      <c r="FO441" s="64"/>
      <c r="FP441" s="64"/>
      <c r="FQ441" s="64"/>
      <c r="FR441" s="64"/>
      <c r="FS441" s="64"/>
      <c r="FT441" s="64"/>
      <c r="FU441" s="64"/>
      <c r="FV441" s="64"/>
      <c r="FW441" s="64"/>
      <c r="FX441" s="64"/>
      <c r="FY441" s="64"/>
      <c r="FZ441" s="64"/>
      <c r="GA441" s="64"/>
      <c r="GB441" s="64"/>
      <c r="GC441" s="64"/>
      <c r="GD441" s="64"/>
      <c r="GE441" s="64"/>
      <c r="GF441" s="64"/>
      <c r="GG441" s="64"/>
      <c r="GH441" s="64"/>
      <c r="GI441" s="64"/>
      <c r="GJ441" s="64"/>
      <c r="GK441" s="64"/>
      <c r="GL441" s="64"/>
      <c r="GM441" s="64"/>
      <c r="GN441" s="64"/>
      <c r="GO441" s="64"/>
      <c r="GP441" s="64"/>
      <c r="GQ441" s="64"/>
      <c r="GR441" s="64"/>
      <c r="GS441" s="64"/>
      <c r="GT441" s="64"/>
      <c r="GU441" s="64"/>
      <c r="GV441" s="64"/>
      <c r="GW441" s="64"/>
      <c r="GX441" s="64"/>
      <c r="GY441" s="64"/>
      <c r="GZ441" s="64"/>
      <c r="HA441" s="64"/>
      <c r="HB441" s="64"/>
      <c r="HC441" s="64"/>
      <c r="HD441" s="64"/>
      <c r="HE441" s="64"/>
      <c r="HF441" s="64"/>
      <c r="HG441" s="64"/>
      <c r="HH441" s="64"/>
      <c r="HI441" s="64"/>
      <c r="HJ441" s="64"/>
      <c r="HK441" s="64"/>
      <c r="HL441" s="64"/>
      <c r="HM441" s="64"/>
      <c r="HN441" s="64"/>
      <c r="HO441" s="64"/>
      <c r="HP441" s="64"/>
      <c r="HQ441" s="64"/>
      <c r="HR441" s="64"/>
      <c r="HS441" s="64"/>
      <c r="HT441" s="64"/>
      <c r="HU441" s="64"/>
      <c r="HV441" s="64"/>
      <c r="HW441" s="64"/>
      <c r="HX441" s="64"/>
      <c r="HY441" s="64"/>
      <c r="HZ441" s="64"/>
      <c r="IA441" s="64"/>
      <c r="IB441" s="64"/>
      <c r="IC441" s="64"/>
      <c r="ID441" s="64"/>
      <c r="IE441" s="64"/>
      <c r="IF441" s="64"/>
      <c r="IG441" s="64"/>
      <c r="IH441" s="64"/>
      <c r="II441" s="64"/>
      <c r="IJ441" s="64"/>
      <c r="IK441" s="64"/>
      <c r="IL441" s="64"/>
      <c r="IM441" s="64"/>
      <c r="IN441" s="64"/>
      <c r="IO441" s="64"/>
      <c r="IP441" s="64"/>
      <c r="IQ441" s="64"/>
      <c r="IR441" s="64"/>
      <c r="IS441" s="64"/>
      <c r="IT441" s="64"/>
      <c r="IU441" s="64"/>
      <c r="IV441" s="64"/>
      <c r="IW441" s="64"/>
      <c r="IX441" s="64"/>
      <c r="IY441" s="64"/>
      <c r="IZ441" s="64"/>
      <c r="JA441" s="64"/>
      <c r="JB441" s="64"/>
      <c r="JC441" s="64"/>
      <c r="JD441" s="64"/>
      <c r="JE441" s="64"/>
      <c r="JF441" s="64"/>
      <c r="JG441" s="64"/>
      <c r="JH441" s="64"/>
      <c r="JI441" s="64"/>
    </row>
    <row r="442" spans="1:269" s="920" customFormat="1" x14ac:dyDescent="0.2">
      <c r="A442" s="116"/>
      <c r="B442" s="64"/>
      <c r="C442" s="64"/>
      <c r="D442" s="64"/>
      <c r="E442" s="64"/>
      <c r="F442" s="64"/>
      <c r="G442" s="64"/>
      <c r="H442" s="64"/>
      <c r="I442" s="64"/>
      <c r="J442" s="116"/>
      <c r="K442" s="116"/>
      <c r="L442" s="116"/>
      <c r="M442" s="116"/>
      <c r="N442" s="116"/>
      <c r="O442" s="116"/>
      <c r="P442" s="116"/>
      <c r="Q442" s="102"/>
      <c r="R442" s="102"/>
      <c r="S442" s="102"/>
      <c r="T442" s="102"/>
      <c r="U442" s="913"/>
      <c r="V442" s="114"/>
      <c r="W442" s="805"/>
      <c r="X442" s="805"/>
      <c r="Y442" s="805"/>
      <c r="Z442" s="914"/>
      <c r="AA442" s="102"/>
      <c r="AB442" s="102"/>
      <c r="AC442" s="102"/>
      <c r="AD442" s="102"/>
      <c r="AE442" s="102"/>
      <c r="AF442" s="102"/>
      <c r="AG442" s="102"/>
      <c r="AH442" s="102"/>
      <c r="AI442" s="102"/>
      <c r="AJ442" s="906"/>
      <c r="AK442" s="102"/>
      <c r="AL442" s="915"/>
      <c r="AM442" s="915"/>
      <c r="AN442" s="114"/>
      <c r="AO442" s="64"/>
      <c r="AP442" s="64"/>
      <c r="AQ442" s="64"/>
      <c r="AR442" s="916"/>
      <c r="AS442" s="916"/>
      <c r="AT442" s="916"/>
      <c r="AU442" s="917"/>
      <c r="AV442" s="917"/>
      <c r="AW442" s="917"/>
      <c r="AX442" s="918"/>
      <c r="AY442" s="916"/>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917"/>
      <c r="CA442" s="917"/>
      <c r="CB442" s="64"/>
      <c r="CC442" s="919"/>
      <c r="CD442" s="919"/>
      <c r="CE442" s="64"/>
      <c r="CF442" s="528"/>
      <c r="CG442" s="529"/>
      <c r="CH442" s="64"/>
      <c r="CI442" s="64"/>
      <c r="CJ442" s="64"/>
      <c r="CK442" s="64"/>
      <c r="CL442" s="64"/>
      <c r="CM442" s="64"/>
      <c r="CN442" s="64"/>
      <c r="CO442" s="64"/>
      <c r="CP442" s="64"/>
      <c r="CQ442" s="64"/>
      <c r="CR442" s="64"/>
      <c r="CS442" s="64"/>
      <c r="CT442" s="64"/>
      <c r="CU442" s="64"/>
      <c r="CV442" s="64"/>
      <c r="CW442" s="64"/>
      <c r="CX442" s="64"/>
      <c r="CY442" s="1011"/>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c r="FC442" s="64"/>
      <c r="FD442" s="64"/>
      <c r="FE442" s="64"/>
      <c r="FF442" s="64"/>
      <c r="FG442" s="64"/>
      <c r="FH442" s="64"/>
      <c r="FI442" s="64"/>
      <c r="FJ442" s="64"/>
      <c r="FK442" s="64"/>
      <c r="FL442" s="64"/>
      <c r="FM442" s="64"/>
      <c r="FN442" s="64"/>
      <c r="FO442" s="64"/>
      <c r="FP442" s="64"/>
      <c r="FQ442" s="64"/>
      <c r="FR442" s="64"/>
      <c r="FS442" s="64"/>
      <c r="FT442" s="64"/>
      <c r="FU442" s="64"/>
      <c r="FV442" s="64"/>
      <c r="FW442" s="64"/>
      <c r="FX442" s="64"/>
      <c r="FY442" s="64"/>
      <c r="FZ442" s="64"/>
      <c r="GA442" s="64"/>
      <c r="GB442" s="64"/>
      <c r="GC442" s="64"/>
      <c r="GD442" s="64"/>
      <c r="GE442" s="64"/>
      <c r="GF442" s="64"/>
      <c r="GG442" s="64"/>
      <c r="GH442" s="64"/>
      <c r="GI442" s="64"/>
      <c r="GJ442" s="64"/>
      <c r="GK442" s="64"/>
      <c r="GL442" s="64"/>
      <c r="GM442" s="64"/>
      <c r="GN442" s="64"/>
      <c r="GO442" s="64"/>
      <c r="GP442" s="64"/>
      <c r="GQ442" s="64"/>
      <c r="GR442" s="64"/>
      <c r="GS442" s="64"/>
      <c r="GT442" s="64"/>
      <c r="GU442" s="64"/>
      <c r="GV442" s="64"/>
      <c r="GW442" s="64"/>
      <c r="GX442" s="64"/>
      <c r="GY442" s="64"/>
      <c r="GZ442" s="64"/>
      <c r="HA442" s="64"/>
      <c r="HB442" s="64"/>
      <c r="HC442" s="64"/>
      <c r="HD442" s="64"/>
      <c r="HE442" s="64"/>
      <c r="HF442" s="64"/>
      <c r="HG442" s="64"/>
      <c r="HH442" s="64"/>
      <c r="HI442" s="64"/>
      <c r="HJ442" s="64"/>
      <c r="HK442" s="64"/>
      <c r="HL442" s="64"/>
      <c r="HM442" s="64"/>
      <c r="HN442" s="64"/>
      <c r="HO442" s="64"/>
      <c r="HP442" s="64"/>
      <c r="HQ442" s="64"/>
      <c r="HR442" s="64"/>
      <c r="HS442" s="64"/>
      <c r="HT442" s="64"/>
      <c r="HU442" s="64"/>
      <c r="HV442" s="64"/>
      <c r="HW442" s="64"/>
      <c r="HX442" s="64"/>
      <c r="HY442" s="64"/>
      <c r="HZ442" s="64"/>
      <c r="IA442" s="64"/>
      <c r="IB442" s="64"/>
      <c r="IC442" s="64"/>
      <c r="ID442" s="64"/>
      <c r="IE442" s="64"/>
      <c r="IF442" s="64"/>
      <c r="IG442" s="64"/>
      <c r="IH442" s="64"/>
      <c r="II442" s="64"/>
      <c r="IJ442" s="64"/>
      <c r="IK442" s="64"/>
      <c r="IL442" s="64"/>
      <c r="IM442" s="64"/>
      <c r="IN442" s="64"/>
      <c r="IO442" s="64"/>
      <c r="IP442" s="64"/>
      <c r="IQ442" s="64"/>
      <c r="IR442" s="64"/>
      <c r="IS442" s="64"/>
      <c r="IT442" s="64"/>
      <c r="IU442" s="64"/>
      <c r="IV442" s="64"/>
      <c r="IW442" s="64"/>
      <c r="IX442" s="64"/>
      <c r="IY442" s="64"/>
      <c r="IZ442" s="64"/>
      <c r="JA442" s="64"/>
      <c r="JB442" s="64"/>
      <c r="JC442" s="64"/>
      <c r="JD442" s="64"/>
      <c r="JE442" s="64"/>
      <c r="JF442" s="64"/>
      <c r="JG442" s="64"/>
      <c r="JH442" s="64"/>
      <c r="JI442" s="64"/>
    </row>
    <row r="443" spans="1:269" s="920" customFormat="1" x14ac:dyDescent="0.2">
      <c r="A443" s="116"/>
      <c r="B443" s="64"/>
      <c r="C443" s="64"/>
      <c r="D443" s="64"/>
      <c r="E443" s="64"/>
      <c r="F443" s="64"/>
      <c r="G443" s="64"/>
      <c r="H443" s="64"/>
      <c r="I443" s="64"/>
      <c r="J443" s="116"/>
      <c r="K443" s="116"/>
      <c r="L443" s="116"/>
      <c r="M443" s="116"/>
      <c r="N443" s="116"/>
      <c r="O443" s="116"/>
      <c r="P443" s="116"/>
      <c r="Q443" s="102"/>
      <c r="R443" s="102"/>
      <c r="S443" s="102"/>
      <c r="T443" s="102"/>
      <c r="U443" s="913"/>
      <c r="V443" s="114"/>
      <c r="W443" s="805"/>
      <c r="X443" s="805"/>
      <c r="Y443" s="805"/>
      <c r="Z443" s="914"/>
      <c r="AA443" s="102"/>
      <c r="AB443" s="102"/>
      <c r="AC443" s="102"/>
      <c r="AD443" s="102"/>
      <c r="AE443" s="102"/>
      <c r="AF443" s="102"/>
      <c r="AG443" s="102"/>
      <c r="AH443" s="102"/>
      <c r="AI443" s="102"/>
      <c r="AJ443" s="906"/>
      <c r="AK443" s="102"/>
      <c r="AL443" s="915"/>
      <c r="AM443" s="915"/>
      <c r="AN443" s="114"/>
      <c r="AO443" s="64"/>
      <c r="AP443" s="64"/>
      <c r="AQ443" s="64"/>
      <c r="AR443" s="916"/>
      <c r="AS443" s="916"/>
      <c r="AT443" s="916"/>
      <c r="AU443" s="917"/>
      <c r="AV443" s="917"/>
      <c r="AW443" s="917"/>
      <c r="AX443" s="918"/>
      <c r="AY443" s="916"/>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917"/>
      <c r="CA443" s="917"/>
      <c r="CB443" s="64"/>
      <c r="CC443" s="919"/>
      <c r="CD443" s="919"/>
      <c r="CE443" s="64"/>
      <c r="CF443" s="528"/>
      <c r="CG443" s="529"/>
      <c r="CH443" s="64"/>
      <c r="CI443" s="64"/>
      <c r="CJ443" s="64"/>
      <c r="CK443" s="64"/>
      <c r="CL443" s="64"/>
      <c r="CM443" s="64"/>
      <c r="CN443" s="64"/>
      <c r="CO443" s="64"/>
      <c r="CP443" s="64"/>
      <c r="CQ443" s="64"/>
      <c r="CR443" s="64"/>
      <c r="CS443" s="64"/>
      <c r="CT443" s="64"/>
      <c r="CU443" s="64"/>
      <c r="CV443" s="64"/>
      <c r="CW443" s="64"/>
      <c r="CX443" s="64"/>
      <c r="CY443" s="1011"/>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c r="FC443" s="64"/>
      <c r="FD443" s="64"/>
      <c r="FE443" s="64"/>
      <c r="FF443" s="64"/>
      <c r="FG443" s="64"/>
      <c r="FH443" s="64"/>
      <c r="FI443" s="64"/>
      <c r="FJ443" s="64"/>
      <c r="FK443" s="64"/>
      <c r="FL443" s="64"/>
      <c r="FM443" s="64"/>
      <c r="FN443" s="64"/>
      <c r="FO443" s="64"/>
      <c r="FP443" s="64"/>
      <c r="FQ443" s="64"/>
      <c r="FR443" s="64"/>
      <c r="FS443" s="64"/>
      <c r="FT443" s="64"/>
      <c r="FU443" s="64"/>
      <c r="FV443" s="64"/>
      <c r="FW443" s="64"/>
      <c r="FX443" s="64"/>
      <c r="FY443" s="64"/>
      <c r="FZ443" s="64"/>
      <c r="GA443" s="64"/>
      <c r="GB443" s="64"/>
      <c r="GC443" s="64"/>
      <c r="GD443" s="64"/>
      <c r="GE443" s="64"/>
      <c r="GF443" s="64"/>
      <c r="GG443" s="64"/>
      <c r="GH443" s="64"/>
      <c r="GI443" s="64"/>
      <c r="GJ443" s="64"/>
      <c r="GK443" s="64"/>
      <c r="GL443" s="64"/>
      <c r="GM443" s="64"/>
      <c r="GN443" s="64"/>
      <c r="GO443" s="64"/>
      <c r="GP443" s="64"/>
      <c r="GQ443" s="64"/>
      <c r="GR443" s="64"/>
      <c r="GS443" s="64"/>
      <c r="GT443" s="64"/>
      <c r="GU443" s="64"/>
      <c r="GV443" s="64"/>
      <c r="GW443" s="64"/>
      <c r="GX443" s="64"/>
      <c r="GY443" s="64"/>
      <c r="GZ443" s="64"/>
      <c r="HA443" s="64"/>
      <c r="HB443" s="64"/>
      <c r="HC443" s="64"/>
      <c r="HD443" s="64"/>
      <c r="HE443" s="64"/>
      <c r="HF443" s="64"/>
      <c r="HG443" s="64"/>
      <c r="HH443" s="64"/>
      <c r="HI443" s="64"/>
      <c r="HJ443" s="64"/>
      <c r="HK443" s="64"/>
      <c r="HL443" s="64"/>
      <c r="HM443" s="64"/>
      <c r="HN443" s="64"/>
      <c r="HO443" s="64"/>
      <c r="HP443" s="64"/>
      <c r="HQ443" s="64"/>
      <c r="HR443" s="64"/>
      <c r="HS443" s="64"/>
      <c r="HT443" s="64"/>
      <c r="HU443" s="64"/>
      <c r="HV443" s="64"/>
      <c r="HW443" s="64"/>
      <c r="HX443" s="64"/>
      <c r="HY443" s="64"/>
      <c r="HZ443" s="64"/>
      <c r="IA443" s="64"/>
      <c r="IB443" s="64"/>
      <c r="IC443" s="64"/>
      <c r="ID443" s="64"/>
      <c r="IE443" s="64"/>
      <c r="IF443" s="64"/>
      <c r="IG443" s="64"/>
      <c r="IH443" s="64"/>
      <c r="II443" s="64"/>
      <c r="IJ443" s="64"/>
      <c r="IK443" s="64"/>
      <c r="IL443" s="64"/>
      <c r="IM443" s="64"/>
      <c r="IN443" s="64"/>
      <c r="IO443" s="64"/>
      <c r="IP443" s="64"/>
      <c r="IQ443" s="64"/>
      <c r="IR443" s="64"/>
      <c r="IS443" s="64"/>
      <c r="IT443" s="64"/>
      <c r="IU443" s="64"/>
      <c r="IV443" s="64"/>
      <c r="IW443" s="64"/>
      <c r="IX443" s="64"/>
      <c r="IY443" s="64"/>
      <c r="IZ443" s="64"/>
      <c r="JA443" s="64"/>
      <c r="JB443" s="64"/>
      <c r="JC443" s="64"/>
      <c r="JD443" s="64"/>
      <c r="JE443" s="64"/>
      <c r="JF443" s="64"/>
      <c r="JG443" s="64"/>
      <c r="JH443" s="64"/>
      <c r="JI443" s="64"/>
    </row>
    <row r="444" spans="1:269" s="920" customFormat="1" x14ac:dyDescent="0.2">
      <c r="A444" s="116"/>
      <c r="B444" s="64"/>
      <c r="C444" s="64"/>
      <c r="D444" s="64"/>
      <c r="E444" s="64"/>
      <c r="F444" s="64"/>
      <c r="G444" s="64"/>
      <c r="H444" s="64"/>
      <c r="I444" s="64"/>
      <c r="J444" s="116"/>
      <c r="K444" s="116"/>
      <c r="L444" s="116"/>
      <c r="M444" s="116"/>
      <c r="N444" s="116"/>
      <c r="O444" s="116"/>
      <c r="P444" s="116"/>
      <c r="Q444" s="102"/>
      <c r="R444" s="102"/>
      <c r="S444" s="102"/>
      <c r="T444" s="102"/>
      <c r="U444" s="913"/>
      <c r="V444" s="114"/>
      <c r="W444" s="805"/>
      <c r="X444" s="805"/>
      <c r="Y444" s="805"/>
      <c r="Z444" s="914"/>
      <c r="AA444" s="102"/>
      <c r="AB444" s="102"/>
      <c r="AC444" s="102"/>
      <c r="AD444" s="102"/>
      <c r="AE444" s="102"/>
      <c r="AF444" s="102"/>
      <c r="AG444" s="102"/>
      <c r="AH444" s="102"/>
      <c r="AI444" s="102"/>
      <c r="AJ444" s="906"/>
      <c r="AK444" s="102"/>
      <c r="AL444" s="915"/>
      <c r="AM444" s="915"/>
      <c r="AN444" s="114"/>
      <c r="AO444" s="64"/>
      <c r="AP444" s="64"/>
      <c r="AQ444" s="64"/>
      <c r="AR444" s="916"/>
      <c r="AS444" s="916"/>
      <c r="AT444" s="916"/>
      <c r="AU444" s="917"/>
      <c r="AV444" s="917"/>
      <c r="AW444" s="917"/>
      <c r="AX444" s="918"/>
      <c r="AY444" s="916"/>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917"/>
      <c r="CA444" s="917"/>
      <c r="CB444" s="64"/>
      <c r="CC444" s="919"/>
      <c r="CD444" s="919"/>
      <c r="CE444" s="64"/>
      <c r="CF444" s="528"/>
      <c r="CG444" s="529"/>
      <c r="CH444" s="64"/>
      <c r="CI444" s="64"/>
      <c r="CJ444" s="64"/>
      <c r="CK444" s="64"/>
      <c r="CL444" s="64"/>
      <c r="CM444" s="64"/>
      <c r="CN444" s="64"/>
      <c r="CO444" s="64"/>
      <c r="CP444" s="64"/>
      <c r="CQ444" s="64"/>
      <c r="CR444" s="64"/>
      <c r="CS444" s="64"/>
      <c r="CT444" s="64"/>
      <c r="CU444" s="64"/>
      <c r="CV444" s="64"/>
      <c r="CW444" s="64"/>
      <c r="CX444" s="64"/>
      <c r="CY444" s="1011"/>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c r="FC444" s="64"/>
      <c r="FD444" s="64"/>
      <c r="FE444" s="64"/>
      <c r="FF444" s="64"/>
      <c r="FG444" s="64"/>
      <c r="FH444" s="64"/>
      <c r="FI444" s="64"/>
      <c r="FJ444" s="64"/>
      <c r="FK444" s="64"/>
      <c r="FL444" s="64"/>
      <c r="FM444" s="64"/>
      <c r="FN444" s="64"/>
      <c r="FO444" s="64"/>
      <c r="FP444" s="64"/>
      <c r="FQ444" s="64"/>
      <c r="FR444" s="64"/>
      <c r="FS444" s="64"/>
      <c r="FT444" s="64"/>
      <c r="FU444" s="64"/>
      <c r="FV444" s="64"/>
      <c r="FW444" s="64"/>
      <c r="FX444" s="64"/>
      <c r="FY444" s="64"/>
      <c r="FZ444" s="64"/>
      <c r="GA444" s="64"/>
      <c r="GB444" s="64"/>
      <c r="GC444" s="64"/>
      <c r="GD444" s="64"/>
      <c r="GE444" s="64"/>
      <c r="GF444" s="64"/>
      <c r="GG444" s="64"/>
      <c r="GH444" s="64"/>
      <c r="GI444" s="64"/>
      <c r="GJ444" s="64"/>
      <c r="GK444" s="64"/>
      <c r="GL444" s="64"/>
      <c r="GM444" s="64"/>
      <c r="GN444" s="64"/>
      <c r="GO444" s="64"/>
      <c r="GP444" s="64"/>
      <c r="GQ444" s="64"/>
      <c r="GR444" s="64"/>
      <c r="GS444" s="64"/>
      <c r="GT444" s="64"/>
      <c r="GU444" s="64"/>
      <c r="GV444" s="64"/>
      <c r="GW444" s="64"/>
      <c r="GX444" s="64"/>
      <c r="GY444" s="64"/>
      <c r="GZ444" s="64"/>
      <c r="HA444" s="64"/>
      <c r="HB444" s="64"/>
      <c r="HC444" s="64"/>
      <c r="HD444" s="64"/>
      <c r="HE444" s="64"/>
      <c r="HF444" s="64"/>
      <c r="HG444" s="64"/>
      <c r="HH444" s="64"/>
      <c r="HI444" s="64"/>
      <c r="HJ444" s="64"/>
      <c r="HK444" s="64"/>
      <c r="HL444" s="64"/>
      <c r="HM444" s="64"/>
      <c r="HN444" s="64"/>
      <c r="HO444" s="64"/>
      <c r="HP444" s="64"/>
      <c r="HQ444" s="64"/>
      <c r="HR444" s="64"/>
      <c r="HS444" s="64"/>
      <c r="HT444" s="64"/>
      <c r="HU444" s="64"/>
      <c r="HV444" s="64"/>
      <c r="HW444" s="64"/>
      <c r="HX444" s="64"/>
      <c r="HY444" s="64"/>
      <c r="HZ444" s="64"/>
      <c r="IA444" s="64"/>
      <c r="IB444" s="64"/>
      <c r="IC444" s="64"/>
      <c r="ID444" s="64"/>
      <c r="IE444" s="64"/>
      <c r="IF444" s="64"/>
      <c r="IG444" s="64"/>
      <c r="IH444" s="64"/>
      <c r="II444" s="64"/>
      <c r="IJ444" s="64"/>
      <c r="IK444" s="64"/>
      <c r="IL444" s="64"/>
      <c r="IM444" s="64"/>
      <c r="IN444" s="64"/>
      <c r="IO444" s="64"/>
      <c r="IP444" s="64"/>
      <c r="IQ444" s="64"/>
      <c r="IR444" s="64"/>
      <c r="IS444" s="64"/>
      <c r="IT444" s="64"/>
      <c r="IU444" s="64"/>
      <c r="IV444" s="64"/>
      <c r="IW444" s="64"/>
      <c r="IX444" s="64"/>
      <c r="IY444" s="64"/>
      <c r="IZ444" s="64"/>
      <c r="JA444" s="64"/>
      <c r="JB444" s="64"/>
      <c r="JC444" s="64"/>
      <c r="JD444" s="64"/>
      <c r="JE444" s="64"/>
      <c r="JF444" s="64"/>
      <c r="JG444" s="64"/>
      <c r="JH444" s="64"/>
      <c r="JI444" s="64"/>
    </row>
    <row r="445" spans="1:269" s="920" customFormat="1" x14ac:dyDescent="0.2">
      <c r="A445" s="116"/>
      <c r="B445" s="64"/>
      <c r="C445" s="64"/>
      <c r="D445" s="64"/>
      <c r="E445" s="64"/>
      <c r="F445" s="64"/>
      <c r="G445" s="64"/>
      <c r="H445" s="64"/>
      <c r="I445" s="64"/>
      <c r="J445" s="116"/>
      <c r="K445" s="116"/>
      <c r="L445" s="116"/>
      <c r="M445" s="116"/>
      <c r="N445" s="116"/>
      <c r="O445" s="116"/>
      <c r="P445" s="116"/>
      <c r="Q445" s="102"/>
      <c r="R445" s="102"/>
      <c r="S445" s="102"/>
      <c r="T445" s="102"/>
      <c r="U445" s="913"/>
      <c r="V445" s="114"/>
      <c r="W445" s="805"/>
      <c r="X445" s="805"/>
      <c r="Y445" s="805"/>
      <c r="Z445" s="914"/>
      <c r="AA445" s="102"/>
      <c r="AB445" s="102"/>
      <c r="AC445" s="102"/>
      <c r="AD445" s="102"/>
      <c r="AE445" s="102"/>
      <c r="AF445" s="102"/>
      <c r="AG445" s="102"/>
      <c r="AH445" s="102"/>
      <c r="AI445" s="102"/>
      <c r="AJ445" s="906"/>
      <c r="AK445" s="102"/>
      <c r="AL445" s="915"/>
      <c r="AM445" s="915"/>
      <c r="AN445" s="114"/>
      <c r="AO445" s="64"/>
      <c r="AP445" s="64"/>
      <c r="AQ445" s="64"/>
      <c r="AR445" s="916"/>
      <c r="AS445" s="916"/>
      <c r="AT445" s="916"/>
      <c r="AU445" s="917"/>
      <c r="AV445" s="917"/>
      <c r="AW445" s="917"/>
      <c r="AX445" s="918"/>
      <c r="AY445" s="916"/>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917"/>
      <c r="CA445" s="917"/>
      <c r="CB445" s="64"/>
      <c r="CC445" s="919"/>
      <c r="CD445" s="919"/>
      <c r="CE445" s="64"/>
      <c r="CF445" s="528"/>
      <c r="CG445" s="529"/>
      <c r="CH445" s="64"/>
      <c r="CI445" s="64"/>
      <c r="CJ445" s="64"/>
      <c r="CK445" s="64"/>
      <c r="CL445" s="64"/>
      <c r="CM445" s="64"/>
      <c r="CN445" s="64"/>
      <c r="CO445" s="64"/>
      <c r="CP445" s="64"/>
      <c r="CQ445" s="64"/>
      <c r="CR445" s="64"/>
      <c r="CS445" s="64"/>
      <c r="CT445" s="64"/>
      <c r="CU445" s="64"/>
      <c r="CV445" s="64"/>
      <c r="CW445" s="64"/>
      <c r="CX445" s="64"/>
      <c r="CY445" s="1011"/>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c r="FC445" s="64"/>
      <c r="FD445" s="64"/>
      <c r="FE445" s="64"/>
      <c r="FF445" s="64"/>
      <c r="FG445" s="64"/>
      <c r="FH445" s="64"/>
      <c r="FI445" s="64"/>
      <c r="FJ445" s="64"/>
      <c r="FK445" s="64"/>
      <c r="FL445" s="64"/>
      <c r="FM445" s="64"/>
      <c r="FN445" s="64"/>
      <c r="FO445" s="64"/>
      <c r="FP445" s="64"/>
      <c r="FQ445" s="64"/>
      <c r="FR445" s="64"/>
      <c r="FS445" s="64"/>
      <c r="FT445" s="64"/>
      <c r="FU445" s="64"/>
      <c r="FV445" s="64"/>
      <c r="FW445" s="64"/>
      <c r="FX445" s="64"/>
      <c r="FY445" s="64"/>
      <c r="FZ445" s="64"/>
      <c r="GA445" s="64"/>
      <c r="GB445" s="64"/>
      <c r="GC445" s="64"/>
      <c r="GD445" s="64"/>
      <c r="GE445" s="64"/>
      <c r="GF445" s="64"/>
      <c r="GG445" s="64"/>
      <c r="GH445" s="64"/>
      <c r="GI445" s="64"/>
      <c r="GJ445" s="64"/>
      <c r="GK445" s="64"/>
      <c r="GL445" s="64"/>
      <c r="GM445" s="64"/>
      <c r="GN445" s="64"/>
      <c r="GO445" s="64"/>
      <c r="GP445" s="64"/>
      <c r="GQ445" s="64"/>
      <c r="GR445" s="64"/>
      <c r="GS445" s="64"/>
      <c r="GT445" s="64"/>
      <c r="GU445" s="64"/>
      <c r="GV445" s="64"/>
      <c r="GW445" s="64"/>
      <c r="GX445" s="64"/>
      <c r="GY445" s="64"/>
      <c r="GZ445" s="64"/>
      <c r="HA445" s="64"/>
      <c r="HB445" s="64"/>
      <c r="HC445" s="64"/>
      <c r="HD445" s="64"/>
      <c r="HE445" s="64"/>
      <c r="HF445" s="64"/>
      <c r="HG445" s="64"/>
      <c r="HH445" s="64"/>
      <c r="HI445" s="64"/>
      <c r="HJ445" s="64"/>
      <c r="HK445" s="64"/>
      <c r="HL445" s="64"/>
      <c r="HM445" s="64"/>
      <c r="HN445" s="64"/>
      <c r="HO445" s="64"/>
      <c r="HP445" s="64"/>
      <c r="HQ445" s="64"/>
      <c r="HR445" s="64"/>
      <c r="HS445" s="64"/>
      <c r="HT445" s="64"/>
      <c r="HU445" s="64"/>
      <c r="HV445" s="64"/>
      <c r="HW445" s="64"/>
      <c r="HX445" s="64"/>
      <c r="HY445" s="64"/>
      <c r="HZ445" s="64"/>
      <c r="IA445" s="64"/>
      <c r="IB445" s="64"/>
      <c r="IC445" s="64"/>
      <c r="ID445" s="64"/>
      <c r="IE445" s="64"/>
      <c r="IF445" s="64"/>
      <c r="IG445" s="64"/>
      <c r="IH445" s="64"/>
      <c r="II445" s="64"/>
      <c r="IJ445" s="64"/>
      <c r="IK445" s="64"/>
      <c r="IL445" s="64"/>
      <c r="IM445" s="64"/>
      <c r="IN445" s="64"/>
      <c r="IO445" s="64"/>
      <c r="IP445" s="64"/>
      <c r="IQ445" s="64"/>
      <c r="IR445" s="64"/>
      <c r="IS445" s="64"/>
      <c r="IT445" s="64"/>
      <c r="IU445" s="64"/>
      <c r="IV445" s="64"/>
      <c r="IW445" s="64"/>
      <c r="IX445" s="64"/>
      <c r="IY445" s="64"/>
      <c r="IZ445" s="64"/>
      <c r="JA445" s="64"/>
      <c r="JB445" s="64"/>
      <c r="JC445" s="64"/>
      <c r="JD445" s="64"/>
      <c r="JE445" s="64"/>
      <c r="JF445" s="64"/>
      <c r="JG445" s="64"/>
      <c r="JH445" s="64"/>
      <c r="JI445" s="64"/>
    </row>
    <row r="446" spans="1:269" s="920" customFormat="1" x14ac:dyDescent="0.2">
      <c r="A446" s="116"/>
      <c r="B446" s="64"/>
      <c r="C446" s="64"/>
      <c r="D446" s="64"/>
      <c r="E446" s="64"/>
      <c r="F446" s="64"/>
      <c r="G446" s="64"/>
      <c r="H446" s="64"/>
      <c r="I446" s="64"/>
      <c r="J446" s="116"/>
      <c r="K446" s="116"/>
      <c r="L446" s="116"/>
      <c r="M446" s="116"/>
      <c r="N446" s="116"/>
      <c r="O446" s="116"/>
      <c r="P446" s="116"/>
      <c r="Q446" s="102"/>
      <c r="R446" s="102"/>
      <c r="S446" s="102"/>
      <c r="T446" s="102"/>
      <c r="U446" s="913"/>
      <c r="V446" s="114"/>
      <c r="W446" s="805"/>
      <c r="X446" s="805"/>
      <c r="Y446" s="805"/>
      <c r="Z446" s="914"/>
      <c r="AA446" s="102"/>
      <c r="AB446" s="102"/>
      <c r="AC446" s="102"/>
      <c r="AD446" s="102"/>
      <c r="AE446" s="102"/>
      <c r="AF446" s="102"/>
      <c r="AG446" s="102"/>
      <c r="AH446" s="102"/>
      <c r="AI446" s="102"/>
      <c r="AJ446" s="906"/>
      <c r="AK446" s="102"/>
      <c r="AL446" s="915"/>
      <c r="AM446" s="915"/>
      <c r="AN446" s="114"/>
      <c r="AO446" s="64"/>
      <c r="AP446" s="64"/>
      <c r="AQ446" s="64"/>
      <c r="AR446" s="916"/>
      <c r="AS446" s="916"/>
      <c r="AT446" s="916"/>
      <c r="AU446" s="917"/>
      <c r="AV446" s="917"/>
      <c r="AW446" s="917"/>
      <c r="AX446" s="918"/>
      <c r="AY446" s="916"/>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917"/>
      <c r="CA446" s="917"/>
      <c r="CB446" s="64"/>
      <c r="CC446" s="919"/>
      <c r="CD446" s="919"/>
      <c r="CE446" s="64"/>
      <c r="CF446" s="528"/>
      <c r="CG446" s="529"/>
      <c r="CH446" s="64"/>
      <c r="CI446" s="64"/>
      <c r="CJ446" s="64"/>
      <c r="CK446" s="64"/>
      <c r="CL446" s="64"/>
      <c r="CM446" s="64"/>
      <c r="CN446" s="64"/>
      <c r="CO446" s="64"/>
      <c r="CP446" s="64"/>
      <c r="CQ446" s="64"/>
      <c r="CR446" s="64"/>
      <c r="CS446" s="64"/>
      <c r="CT446" s="64"/>
      <c r="CU446" s="64"/>
      <c r="CV446" s="64"/>
      <c r="CW446" s="64"/>
      <c r="CX446" s="64"/>
      <c r="CY446" s="1011"/>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c r="FC446" s="64"/>
      <c r="FD446" s="64"/>
      <c r="FE446" s="64"/>
      <c r="FF446" s="64"/>
      <c r="FG446" s="64"/>
      <c r="FH446" s="64"/>
      <c r="FI446" s="64"/>
      <c r="FJ446" s="64"/>
      <c r="FK446" s="64"/>
      <c r="FL446" s="64"/>
      <c r="FM446" s="64"/>
      <c r="FN446" s="64"/>
      <c r="FO446" s="64"/>
      <c r="FP446" s="64"/>
      <c r="FQ446" s="64"/>
      <c r="FR446" s="64"/>
      <c r="FS446" s="64"/>
      <c r="FT446" s="64"/>
      <c r="FU446" s="64"/>
      <c r="FV446" s="64"/>
      <c r="FW446" s="64"/>
      <c r="FX446" s="64"/>
      <c r="FY446" s="64"/>
      <c r="FZ446" s="64"/>
      <c r="GA446" s="64"/>
      <c r="GB446" s="64"/>
      <c r="GC446" s="64"/>
      <c r="GD446" s="64"/>
      <c r="GE446" s="64"/>
      <c r="GF446" s="64"/>
      <c r="GG446" s="64"/>
      <c r="GH446" s="64"/>
      <c r="GI446" s="64"/>
      <c r="GJ446" s="64"/>
      <c r="GK446" s="64"/>
      <c r="GL446" s="64"/>
      <c r="GM446" s="64"/>
      <c r="GN446" s="64"/>
      <c r="GO446" s="64"/>
      <c r="GP446" s="64"/>
      <c r="GQ446" s="64"/>
      <c r="GR446" s="64"/>
      <c r="GS446" s="64"/>
      <c r="GT446" s="64"/>
      <c r="GU446" s="64"/>
      <c r="GV446" s="64"/>
      <c r="GW446" s="64"/>
      <c r="GX446" s="64"/>
      <c r="GY446" s="64"/>
      <c r="GZ446" s="64"/>
      <c r="HA446" s="64"/>
      <c r="HB446" s="64"/>
      <c r="HC446" s="64"/>
      <c r="HD446" s="64"/>
      <c r="HE446" s="64"/>
      <c r="HF446" s="64"/>
      <c r="HG446" s="64"/>
      <c r="HH446" s="64"/>
      <c r="HI446" s="64"/>
      <c r="HJ446" s="64"/>
      <c r="HK446" s="64"/>
      <c r="HL446" s="64"/>
      <c r="HM446" s="64"/>
      <c r="HN446" s="64"/>
      <c r="HO446" s="64"/>
      <c r="HP446" s="64"/>
      <c r="HQ446" s="64"/>
      <c r="HR446" s="64"/>
      <c r="HS446" s="64"/>
      <c r="HT446" s="64"/>
      <c r="HU446" s="64"/>
      <c r="HV446" s="64"/>
      <c r="HW446" s="64"/>
      <c r="HX446" s="64"/>
      <c r="HY446" s="64"/>
      <c r="HZ446" s="64"/>
      <c r="IA446" s="64"/>
      <c r="IB446" s="64"/>
      <c r="IC446" s="64"/>
      <c r="ID446" s="64"/>
      <c r="IE446" s="64"/>
      <c r="IF446" s="64"/>
      <c r="IG446" s="64"/>
      <c r="IH446" s="64"/>
      <c r="II446" s="64"/>
      <c r="IJ446" s="64"/>
      <c r="IK446" s="64"/>
      <c r="IL446" s="64"/>
      <c r="IM446" s="64"/>
      <c r="IN446" s="64"/>
      <c r="IO446" s="64"/>
      <c r="IP446" s="64"/>
      <c r="IQ446" s="64"/>
      <c r="IR446" s="64"/>
      <c r="IS446" s="64"/>
      <c r="IT446" s="64"/>
      <c r="IU446" s="64"/>
      <c r="IV446" s="64"/>
      <c r="IW446" s="64"/>
      <c r="IX446" s="64"/>
      <c r="IY446" s="64"/>
      <c r="IZ446" s="64"/>
      <c r="JA446" s="64"/>
      <c r="JB446" s="64"/>
      <c r="JC446" s="64"/>
      <c r="JD446" s="64"/>
      <c r="JE446" s="64"/>
      <c r="JF446" s="64"/>
      <c r="JG446" s="64"/>
      <c r="JH446" s="64"/>
      <c r="JI446" s="64"/>
    </row>
    <row r="447" spans="1:269" s="920" customFormat="1" x14ac:dyDescent="0.2">
      <c r="A447" s="116"/>
      <c r="B447" s="64"/>
      <c r="C447" s="64"/>
      <c r="D447" s="64"/>
      <c r="E447" s="64"/>
      <c r="F447" s="64"/>
      <c r="G447" s="64"/>
      <c r="H447" s="64"/>
      <c r="I447" s="64"/>
      <c r="J447" s="116"/>
      <c r="K447" s="116"/>
      <c r="L447" s="116"/>
      <c r="M447" s="116"/>
      <c r="N447" s="116"/>
      <c r="O447" s="116"/>
      <c r="P447" s="116"/>
      <c r="Q447" s="102"/>
      <c r="R447" s="102"/>
      <c r="S447" s="102"/>
      <c r="T447" s="102"/>
      <c r="U447" s="913"/>
      <c r="V447" s="114"/>
      <c r="W447" s="805"/>
      <c r="X447" s="805"/>
      <c r="Y447" s="805"/>
      <c r="Z447" s="914"/>
      <c r="AA447" s="102"/>
      <c r="AB447" s="102"/>
      <c r="AC447" s="102"/>
      <c r="AD447" s="102"/>
      <c r="AE447" s="102"/>
      <c r="AF447" s="102"/>
      <c r="AG447" s="102"/>
      <c r="AH447" s="102"/>
      <c r="AI447" s="102"/>
      <c r="AJ447" s="906"/>
      <c r="AK447" s="102"/>
      <c r="AL447" s="915"/>
      <c r="AM447" s="915"/>
      <c r="AN447" s="114"/>
      <c r="AO447" s="64"/>
      <c r="AP447" s="64"/>
      <c r="AQ447" s="64"/>
      <c r="AR447" s="916"/>
      <c r="AS447" s="916"/>
      <c r="AT447" s="916"/>
      <c r="AU447" s="917"/>
      <c r="AV447" s="917"/>
      <c r="AW447" s="917"/>
      <c r="AX447" s="918"/>
      <c r="AY447" s="916"/>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917"/>
      <c r="CA447" s="917"/>
      <c r="CB447" s="64"/>
      <c r="CC447" s="919"/>
      <c r="CD447" s="919"/>
      <c r="CE447" s="64"/>
      <c r="CF447" s="528"/>
      <c r="CG447" s="529"/>
      <c r="CH447" s="64"/>
      <c r="CI447" s="64"/>
      <c r="CJ447" s="64"/>
      <c r="CK447" s="64"/>
      <c r="CL447" s="64"/>
      <c r="CM447" s="64"/>
      <c r="CN447" s="64"/>
      <c r="CO447" s="64"/>
      <c r="CP447" s="64"/>
      <c r="CQ447" s="64"/>
      <c r="CR447" s="64"/>
      <c r="CS447" s="64"/>
      <c r="CT447" s="64"/>
      <c r="CU447" s="64"/>
      <c r="CV447" s="64"/>
      <c r="CW447" s="64"/>
      <c r="CX447" s="64"/>
      <c r="CY447" s="1011"/>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c r="FC447" s="64"/>
      <c r="FD447" s="64"/>
      <c r="FE447" s="64"/>
      <c r="FF447" s="64"/>
      <c r="FG447" s="64"/>
      <c r="FH447" s="64"/>
      <c r="FI447" s="64"/>
      <c r="FJ447" s="64"/>
      <c r="FK447" s="64"/>
      <c r="FL447" s="64"/>
      <c r="FM447" s="64"/>
      <c r="FN447" s="64"/>
      <c r="FO447" s="64"/>
      <c r="FP447" s="64"/>
      <c r="FQ447" s="64"/>
      <c r="FR447" s="64"/>
      <c r="FS447" s="64"/>
      <c r="FT447" s="64"/>
      <c r="FU447" s="64"/>
      <c r="FV447" s="64"/>
      <c r="FW447" s="64"/>
      <c r="FX447" s="64"/>
      <c r="FY447" s="64"/>
      <c r="FZ447" s="64"/>
      <c r="GA447" s="64"/>
      <c r="GB447" s="64"/>
      <c r="GC447" s="64"/>
      <c r="GD447" s="64"/>
      <c r="GE447" s="64"/>
      <c r="GF447" s="64"/>
      <c r="GG447" s="64"/>
      <c r="GH447" s="64"/>
      <c r="GI447" s="64"/>
      <c r="GJ447" s="64"/>
      <c r="GK447" s="64"/>
      <c r="GL447" s="64"/>
      <c r="GM447" s="64"/>
      <c r="GN447" s="64"/>
      <c r="GO447" s="64"/>
      <c r="GP447" s="64"/>
      <c r="GQ447" s="64"/>
      <c r="GR447" s="64"/>
      <c r="GS447" s="64"/>
      <c r="GT447" s="64"/>
      <c r="GU447" s="64"/>
      <c r="GV447" s="64"/>
      <c r="GW447" s="64"/>
      <c r="GX447" s="64"/>
      <c r="GY447" s="64"/>
      <c r="GZ447" s="64"/>
      <c r="HA447" s="64"/>
      <c r="HB447" s="64"/>
      <c r="HC447" s="64"/>
      <c r="HD447" s="64"/>
      <c r="HE447" s="64"/>
      <c r="HF447" s="64"/>
      <c r="HG447" s="64"/>
      <c r="HH447" s="64"/>
      <c r="HI447" s="64"/>
      <c r="HJ447" s="64"/>
      <c r="HK447" s="64"/>
      <c r="HL447" s="64"/>
      <c r="HM447" s="64"/>
      <c r="HN447" s="64"/>
      <c r="HO447" s="64"/>
      <c r="HP447" s="64"/>
      <c r="HQ447" s="64"/>
      <c r="HR447" s="64"/>
      <c r="HS447" s="64"/>
      <c r="HT447" s="64"/>
      <c r="HU447" s="64"/>
      <c r="HV447" s="64"/>
      <c r="HW447" s="64"/>
      <c r="HX447" s="64"/>
      <c r="HY447" s="64"/>
      <c r="HZ447" s="64"/>
      <c r="IA447" s="64"/>
      <c r="IB447" s="64"/>
      <c r="IC447" s="64"/>
      <c r="ID447" s="64"/>
      <c r="IE447" s="64"/>
      <c r="IF447" s="64"/>
      <c r="IG447" s="64"/>
      <c r="IH447" s="64"/>
      <c r="II447" s="64"/>
      <c r="IJ447" s="64"/>
      <c r="IK447" s="64"/>
      <c r="IL447" s="64"/>
      <c r="IM447" s="64"/>
      <c r="IN447" s="64"/>
      <c r="IO447" s="64"/>
      <c r="IP447" s="64"/>
      <c r="IQ447" s="64"/>
      <c r="IR447" s="64"/>
      <c r="IS447" s="64"/>
      <c r="IT447" s="64"/>
      <c r="IU447" s="64"/>
      <c r="IV447" s="64"/>
      <c r="IW447" s="64"/>
      <c r="IX447" s="64"/>
      <c r="IY447" s="64"/>
      <c r="IZ447" s="64"/>
      <c r="JA447" s="64"/>
      <c r="JB447" s="64"/>
      <c r="JC447" s="64"/>
      <c r="JD447" s="64"/>
      <c r="JE447" s="64"/>
      <c r="JF447" s="64"/>
      <c r="JG447" s="64"/>
      <c r="JH447" s="64"/>
      <c r="JI447" s="64"/>
    </row>
    <row r="448" spans="1:269" s="920" customFormat="1" x14ac:dyDescent="0.2">
      <c r="A448" s="116"/>
      <c r="B448" s="64"/>
      <c r="C448" s="64"/>
      <c r="D448" s="64"/>
      <c r="E448" s="64"/>
      <c r="F448" s="64"/>
      <c r="G448" s="64"/>
      <c r="H448" s="64"/>
      <c r="I448" s="64"/>
      <c r="J448" s="116"/>
      <c r="K448" s="116"/>
      <c r="L448" s="116"/>
      <c r="M448" s="116"/>
      <c r="N448" s="116"/>
      <c r="O448" s="116"/>
      <c r="P448" s="116"/>
      <c r="Q448" s="102"/>
      <c r="R448" s="102"/>
      <c r="S448" s="102"/>
      <c r="T448" s="102"/>
      <c r="U448" s="913"/>
      <c r="V448" s="114"/>
      <c r="W448" s="805"/>
      <c r="X448" s="805"/>
      <c r="Y448" s="805"/>
      <c r="Z448" s="914"/>
      <c r="AA448" s="102"/>
      <c r="AB448" s="102"/>
      <c r="AC448" s="102"/>
      <c r="AD448" s="102"/>
      <c r="AE448" s="102"/>
      <c r="AF448" s="102"/>
      <c r="AG448" s="102"/>
      <c r="AH448" s="102"/>
      <c r="AI448" s="102"/>
      <c r="AJ448" s="906"/>
      <c r="AK448" s="102"/>
      <c r="AL448" s="915"/>
      <c r="AM448" s="915"/>
      <c r="AN448" s="114"/>
      <c r="AO448" s="64"/>
      <c r="AP448" s="64"/>
      <c r="AQ448" s="64"/>
      <c r="AR448" s="916"/>
      <c r="AS448" s="916"/>
      <c r="AT448" s="916"/>
      <c r="AU448" s="917"/>
      <c r="AV448" s="917"/>
      <c r="AW448" s="917"/>
      <c r="AX448" s="918"/>
      <c r="AY448" s="916"/>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917"/>
      <c r="CA448" s="917"/>
      <c r="CB448" s="64"/>
      <c r="CC448" s="919"/>
      <c r="CD448" s="919"/>
      <c r="CE448" s="64"/>
      <c r="CF448" s="528"/>
      <c r="CG448" s="529"/>
      <c r="CH448" s="64"/>
      <c r="CI448" s="64"/>
      <c r="CJ448" s="64"/>
      <c r="CK448" s="64"/>
      <c r="CL448" s="64"/>
      <c r="CM448" s="64"/>
      <c r="CN448" s="64"/>
      <c r="CO448" s="64"/>
      <c r="CP448" s="64"/>
      <c r="CQ448" s="64"/>
      <c r="CR448" s="64"/>
      <c r="CS448" s="64"/>
      <c r="CT448" s="64"/>
      <c r="CU448" s="64"/>
      <c r="CV448" s="64"/>
      <c r="CW448" s="64"/>
      <c r="CX448" s="64"/>
      <c r="CY448" s="1011"/>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c r="FC448" s="64"/>
      <c r="FD448" s="64"/>
      <c r="FE448" s="64"/>
      <c r="FF448" s="64"/>
      <c r="FG448" s="64"/>
      <c r="FH448" s="64"/>
      <c r="FI448" s="64"/>
      <c r="FJ448" s="64"/>
      <c r="FK448" s="64"/>
      <c r="FL448" s="64"/>
      <c r="FM448" s="64"/>
      <c r="FN448" s="64"/>
      <c r="FO448" s="64"/>
      <c r="FP448" s="64"/>
      <c r="FQ448" s="64"/>
      <c r="FR448" s="64"/>
      <c r="FS448" s="64"/>
      <c r="FT448" s="64"/>
      <c r="FU448" s="64"/>
      <c r="FV448" s="64"/>
      <c r="FW448" s="64"/>
      <c r="FX448" s="64"/>
      <c r="FY448" s="64"/>
      <c r="FZ448" s="64"/>
      <c r="GA448" s="64"/>
      <c r="GB448" s="64"/>
      <c r="GC448" s="64"/>
      <c r="GD448" s="64"/>
      <c r="GE448" s="64"/>
      <c r="GF448" s="64"/>
      <c r="GG448" s="64"/>
      <c r="GH448" s="64"/>
      <c r="GI448" s="64"/>
      <c r="GJ448" s="64"/>
      <c r="GK448" s="64"/>
      <c r="GL448" s="64"/>
      <c r="GM448" s="64"/>
      <c r="GN448" s="64"/>
      <c r="GO448" s="64"/>
      <c r="GP448" s="64"/>
      <c r="GQ448" s="64"/>
      <c r="GR448" s="64"/>
      <c r="GS448" s="64"/>
      <c r="GT448" s="64"/>
      <c r="GU448" s="64"/>
      <c r="GV448" s="64"/>
      <c r="GW448" s="64"/>
      <c r="GX448" s="64"/>
      <c r="GY448" s="64"/>
      <c r="GZ448" s="64"/>
      <c r="HA448" s="64"/>
      <c r="HB448" s="64"/>
      <c r="HC448" s="64"/>
      <c r="HD448" s="64"/>
      <c r="HE448" s="64"/>
      <c r="HF448" s="64"/>
      <c r="HG448" s="64"/>
      <c r="HH448" s="64"/>
      <c r="HI448" s="64"/>
      <c r="HJ448" s="64"/>
      <c r="HK448" s="64"/>
      <c r="HL448" s="64"/>
      <c r="HM448" s="64"/>
      <c r="HN448" s="64"/>
      <c r="HO448" s="64"/>
      <c r="HP448" s="64"/>
      <c r="HQ448" s="64"/>
      <c r="HR448" s="64"/>
      <c r="HS448" s="64"/>
      <c r="HT448" s="64"/>
      <c r="HU448" s="64"/>
      <c r="HV448" s="64"/>
      <c r="HW448" s="64"/>
      <c r="HX448" s="64"/>
      <c r="HY448" s="64"/>
      <c r="HZ448" s="64"/>
      <c r="IA448" s="64"/>
      <c r="IB448" s="64"/>
      <c r="IC448" s="64"/>
      <c r="ID448" s="64"/>
      <c r="IE448" s="64"/>
      <c r="IF448" s="64"/>
      <c r="IG448" s="64"/>
      <c r="IH448" s="64"/>
      <c r="II448" s="64"/>
      <c r="IJ448" s="64"/>
      <c r="IK448" s="64"/>
      <c r="IL448" s="64"/>
      <c r="IM448" s="64"/>
      <c r="IN448" s="64"/>
      <c r="IO448" s="64"/>
      <c r="IP448" s="64"/>
      <c r="IQ448" s="64"/>
      <c r="IR448" s="64"/>
      <c r="IS448" s="64"/>
      <c r="IT448" s="64"/>
      <c r="IU448" s="64"/>
      <c r="IV448" s="64"/>
      <c r="IW448" s="64"/>
      <c r="IX448" s="64"/>
      <c r="IY448" s="64"/>
      <c r="IZ448" s="64"/>
      <c r="JA448" s="64"/>
      <c r="JB448" s="64"/>
      <c r="JC448" s="64"/>
      <c r="JD448" s="64"/>
      <c r="JE448" s="64"/>
      <c r="JF448" s="64"/>
      <c r="JG448" s="64"/>
      <c r="JH448" s="64"/>
      <c r="JI448" s="64"/>
    </row>
    <row r="449" spans="1:269" s="920" customFormat="1" x14ac:dyDescent="0.2">
      <c r="A449" s="116"/>
      <c r="B449" s="64"/>
      <c r="C449" s="64"/>
      <c r="D449" s="64"/>
      <c r="E449" s="64"/>
      <c r="F449" s="64"/>
      <c r="G449" s="64"/>
      <c r="H449" s="64"/>
      <c r="I449" s="64"/>
      <c r="J449" s="116"/>
      <c r="K449" s="116"/>
      <c r="L449" s="116"/>
      <c r="M449" s="116"/>
      <c r="N449" s="116"/>
      <c r="O449" s="116"/>
      <c r="P449" s="116"/>
      <c r="Q449" s="102"/>
      <c r="R449" s="102"/>
      <c r="S449" s="102"/>
      <c r="T449" s="102"/>
      <c r="U449" s="913"/>
      <c r="V449" s="114"/>
      <c r="W449" s="805"/>
      <c r="X449" s="805"/>
      <c r="Y449" s="805"/>
      <c r="Z449" s="914"/>
      <c r="AA449" s="102"/>
      <c r="AB449" s="102"/>
      <c r="AC449" s="102"/>
      <c r="AD449" s="102"/>
      <c r="AE449" s="102"/>
      <c r="AF449" s="102"/>
      <c r="AG449" s="102"/>
      <c r="AH449" s="102"/>
      <c r="AI449" s="102"/>
      <c r="AJ449" s="906"/>
      <c r="AK449" s="102"/>
      <c r="AL449" s="915"/>
      <c r="AM449" s="915"/>
      <c r="AN449" s="114"/>
      <c r="AO449" s="64"/>
      <c r="AP449" s="64"/>
      <c r="AQ449" s="64"/>
      <c r="AR449" s="916"/>
      <c r="AS449" s="916"/>
      <c r="AT449" s="916"/>
      <c r="AU449" s="917"/>
      <c r="AV449" s="917"/>
      <c r="AW449" s="917"/>
      <c r="AX449" s="918"/>
      <c r="AY449" s="916"/>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917"/>
      <c r="CA449" s="917"/>
      <c r="CB449" s="64"/>
      <c r="CC449" s="919"/>
      <c r="CD449" s="919"/>
      <c r="CE449" s="64"/>
      <c r="CF449" s="528"/>
      <c r="CG449" s="529"/>
      <c r="CH449" s="64"/>
      <c r="CI449" s="64"/>
      <c r="CJ449" s="64"/>
      <c r="CK449" s="64"/>
      <c r="CL449" s="64"/>
      <c r="CM449" s="64"/>
      <c r="CN449" s="64"/>
      <c r="CO449" s="64"/>
      <c r="CP449" s="64"/>
      <c r="CQ449" s="64"/>
      <c r="CR449" s="64"/>
      <c r="CS449" s="64"/>
      <c r="CT449" s="64"/>
      <c r="CU449" s="64"/>
      <c r="CV449" s="64"/>
      <c r="CW449" s="64"/>
      <c r="CX449" s="64"/>
      <c r="CY449" s="1011"/>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c r="FC449" s="64"/>
      <c r="FD449" s="64"/>
      <c r="FE449" s="64"/>
      <c r="FF449" s="64"/>
      <c r="FG449" s="64"/>
      <c r="FH449" s="64"/>
      <c r="FI449" s="64"/>
      <c r="FJ449" s="64"/>
      <c r="FK449" s="64"/>
      <c r="FL449" s="64"/>
      <c r="FM449" s="64"/>
      <c r="FN449" s="64"/>
      <c r="FO449" s="64"/>
      <c r="FP449" s="64"/>
      <c r="FQ449" s="64"/>
      <c r="FR449" s="64"/>
      <c r="FS449" s="64"/>
      <c r="FT449" s="64"/>
      <c r="FU449" s="64"/>
      <c r="FV449" s="64"/>
      <c r="FW449" s="64"/>
      <c r="FX449" s="64"/>
      <c r="FY449" s="64"/>
      <c r="FZ449" s="64"/>
      <c r="GA449" s="64"/>
      <c r="GB449" s="64"/>
      <c r="GC449" s="64"/>
      <c r="GD449" s="64"/>
      <c r="GE449" s="64"/>
      <c r="GF449" s="64"/>
      <c r="GG449" s="64"/>
      <c r="GH449" s="64"/>
      <c r="GI449" s="64"/>
      <c r="GJ449" s="64"/>
      <c r="GK449" s="64"/>
      <c r="GL449" s="64"/>
      <c r="GM449" s="64"/>
      <c r="GN449" s="64"/>
      <c r="GO449" s="64"/>
      <c r="GP449" s="64"/>
      <c r="GQ449" s="64"/>
      <c r="GR449" s="64"/>
      <c r="GS449" s="64"/>
      <c r="GT449" s="64"/>
      <c r="GU449" s="64"/>
      <c r="GV449" s="64"/>
      <c r="GW449" s="64"/>
      <c r="GX449" s="64"/>
      <c r="GY449" s="64"/>
      <c r="GZ449" s="64"/>
      <c r="HA449" s="64"/>
      <c r="HB449" s="64"/>
      <c r="HC449" s="64"/>
      <c r="HD449" s="64"/>
      <c r="HE449" s="64"/>
      <c r="HF449" s="64"/>
      <c r="HG449" s="64"/>
      <c r="HH449" s="64"/>
      <c r="HI449" s="64"/>
      <c r="HJ449" s="64"/>
      <c r="HK449" s="64"/>
      <c r="HL449" s="64"/>
      <c r="HM449" s="64"/>
      <c r="HN449" s="64"/>
      <c r="HO449" s="64"/>
      <c r="HP449" s="64"/>
      <c r="HQ449" s="64"/>
      <c r="HR449" s="64"/>
      <c r="HS449" s="64"/>
      <c r="HT449" s="64"/>
      <c r="HU449" s="64"/>
      <c r="HV449" s="64"/>
      <c r="HW449" s="64"/>
      <c r="HX449" s="64"/>
      <c r="HY449" s="64"/>
      <c r="HZ449" s="64"/>
      <c r="IA449" s="64"/>
      <c r="IB449" s="64"/>
      <c r="IC449" s="64"/>
      <c r="ID449" s="64"/>
      <c r="IE449" s="64"/>
      <c r="IF449" s="64"/>
      <c r="IG449" s="64"/>
      <c r="IH449" s="64"/>
      <c r="II449" s="64"/>
      <c r="IJ449" s="64"/>
      <c r="IK449" s="64"/>
      <c r="IL449" s="64"/>
      <c r="IM449" s="64"/>
      <c r="IN449" s="64"/>
      <c r="IO449" s="64"/>
      <c r="IP449" s="64"/>
      <c r="IQ449" s="64"/>
      <c r="IR449" s="64"/>
      <c r="IS449" s="64"/>
      <c r="IT449" s="64"/>
      <c r="IU449" s="64"/>
      <c r="IV449" s="64"/>
      <c r="IW449" s="64"/>
      <c r="IX449" s="64"/>
      <c r="IY449" s="64"/>
      <c r="IZ449" s="64"/>
      <c r="JA449" s="64"/>
      <c r="JB449" s="64"/>
      <c r="JC449" s="64"/>
      <c r="JD449" s="64"/>
      <c r="JE449" s="64"/>
      <c r="JF449" s="64"/>
      <c r="JG449" s="64"/>
      <c r="JH449" s="64"/>
      <c r="JI449" s="64"/>
    </row>
    <row r="450" spans="1:269" s="920" customFormat="1" x14ac:dyDescent="0.2">
      <c r="A450" s="116"/>
      <c r="B450" s="64"/>
      <c r="C450" s="64"/>
      <c r="D450" s="64"/>
      <c r="E450" s="64"/>
      <c r="F450" s="64"/>
      <c r="G450" s="64"/>
      <c r="H450" s="64"/>
      <c r="I450" s="64"/>
      <c r="J450" s="116"/>
      <c r="K450" s="116"/>
      <c r="L450" s="116"/>
      <c r="M450" s="116"/>
      <c r="N450" s="116"/>
      <c r="O450" s="116"/>
      <c r="P450" s="116"/>
      <c r="Q450" s="102"/>
      <c r="R450" s="102"/>
      <c r="S450" s="102"/>
      <c r="T450" s="102"/>
      <c r="U450" s="913"/>
      <c r="V450" s="114"/>
      <c r="W450" s="805"/>
      <c r="X450" s="805"/>
      <c r="Y450" s="805"/>
      <c r="Z450" s="914"/>
      <c r="AA450" s="102"/>
      <c r="AB450" s="102"/>
      <c r="AC450" s="102"/>
      <c r="AD450" s="102"/>
      <c r="AE450" s="102"/>
      <c r="AF450" s="102"/>
      <c r="AG450" s="102"/>
      <c r="AH450" s="102"/>
      <c r="AI450" s="102"/>
      <c r="AJ450" s="906"/>
      <c r="AK450" s="102"/>
      <c r="AL450" s="915"/>
      <c r="AM450" s="915"/>
      <c r="AN450" s="114"/>
      <c r="AO450" s="64"/>
      <c r="AP450" s="64"/>
      <c r="AQ450" s="64"/>
      <c r="AR450" s="916"/>
      <c r="AS450" s="916"/>
      <c r="AT450" s="916"/>
      <c r="AU450" s="917"/>
      <c r="AV450" s="917"/>
      <c r="AW450" s="917"/>
      <c r="AX450" s="918"/>
      <c r="AY450" s="916"/>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917"/>
      <c r="CA450" s="917"/>
      <c r="CB450" s="64"/>
      <c r="CC450" s="919"/>
      <c r="CD450" s="919"/>
      <c r="CE450" s="64"/>
      <c r="CF450" s="528"/>
      <c r="CG450" s="529"/>
      <c r="CH450" s="64"/>
      <c r="CI450" s="64"/>
      <c r="CJ450" s="64"/>
      <c r="CK450" s="64"/>
      <c r="CL450" s="64"/>
      <c r="CM450" s="64"/>
      <c r="CN450" s="64"/>
      <c r="CO450" s="64"/>
      <c r="CP450" s="64"/>
      <c r="CQ450" s="64"/>
      <c r="CR450" s="64"/>
      <c r="CS450" s="64"/>
      <c r="CT450" s="64"/>
      <c r="CU450" s="64"/>
      <c r="CV450" s="64"/>
      <c r="CW450" s="64"/>
      <c r="CX450" s="64"/>
      <c r="CY450" s="1011"/>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c r="FC450" s="64"/>
      <c r="FD450" s="64"/>
      <c r="FE450" s="64"/>
      <c r="FF450" s="64"/>
      <c r="FG450" s="64"/>
      <c r="FH450" s="64"/>
      <c r="FI450" s="64"/>
      <c r="FJ450" s="64"/>
      <c r="FK450" s="64"/>
      <c r="FL450" s="64"/>
      <c r="FM450" s="64"/>
      <c r="FN450" s="64"/>
      <c r="FO450" s="64"/>
      <c r="FP450" s="64"/>
      <c r="FQ450" s="64"/>
      <c r="FR450" s="64"/>
      <c r="FS450" s="64"/>
      <c r="FT450" s="64"/>
      <c r="FU450" s="64"/>
      <c r="FV450" s="64"/>
      <c r="FW450" s="64"/>
      <c r="FX450" s="64"/>
      <c r="FY450" s="64"/>
      <c r="FZ450" s="64"/>
      <c r="GA450" s="64"/>
      <c r="GB450" s="64"/>
      <c r="GC450" s="64"/>
      <c r="GD450" s="64"/>
      <c r="GE450" s="64"/>
      <c r="GF450" s="64"/>
      <c r="GG450" s="64"/>
      <c r="GH450" s="64"/>
      <c r="GI450" s="64"/>
      <c r="GJ450" s="64"/>
      <c r="GK450" s="64"/>
      <c r="GL450" s="64"/>
      <c r="GM450" s="64"/>
      <c r="GN450" s="64"/>
      <c r="GO450" s="64"/>
      <c r="GP450" s="64"/>
      <c r="GQ450" s="64"/>
      <c r="GR450" s="64"/>
      <c r="GS450" s="64"/>
      <c r="GT450" s="64"/>
      <c r="GU450" s="64"/>
      <c r="GV450" s="64"/>
      <c r="GW450" s="64"/>
      <c r="GX450" s="64"/>
      <c r="GY450" s="64"/>
      <c r="GZ450" s="64"/>
      <c r="HA450" s="64"/>
      <c r="HB450" s="64"/>
      <c r="HC450" s="64"/>
      <c r="HD450" s="64"/>
      <c r="HE450" s="64"/>
      <c r="HF450" s="64"/>
      <c r="HG450" s="64"/>
      <c r="HH450" s="64"/>
      <c r="HI450" s="64"/>
      <c r="HJ450" s="64"/>
      <c r="HK450" s="64"/>
      <c r="HL450" s="64"/>
      <c r="HM450" s="64"/>
      <c r="HN450" s="64"/>
      <c r="HO450" s="64"/>
      <c r="HP450" s="64"/>
      <c r="HQ450" s="64"/>
      <c r="HR450" s="64"/>
      <c r="HS450" s="64"/>
      <c r="HT450" s="64"/>
      <c r="HU450" s="64"/>
      <c r="HV450" s="64"/>
      <c r="HW450" s="64"/>
      <c r="HX450" s="64"/>
      <c r="HY450" s="64"/>
      <c r="HZ450" s="64"/>
      <c r="IA450" s="64"/>
      <c r="IB450" s="64"/>
      <c r="IC450" s="64"/>
      <c r="ID450" s="64"/>
      <c r="IE450" s="64"/>
      <c r="IF450" s="64"/>
      <c r="IG450" s="64"/>
      <c r="IH450" s="64"/>
      <c r="II450" s="64"/>
      <c r="IJ450" s="64"/>
      <c r="IK450" s="64"/>
      <c r="IL450" s="64"/>
      <c r="IM450" s="64"/>
      <c r="IN450" s="64"/>
      <c r="IO450" s="64"/>
      <c r="IP450" s="64"/>
      <c r="IQ450" s="64"/>
      <c r="IR450" s="64"/>
      <c r="IS450" s="64"/>
      <c r="IT450" s="64"/>
      <c r="IU450" s="64"/>
      <c r="IV450" s="64"/>
      <c r="IW450" s="64"/>
      <c r="IX450" s="64"/>
      <c r="IY450" s="64"/>
      <c r="IZ450" s="64"/>
      <c r="JA450" s="64"/>
      <c r="JB450" s="64"/>
      <c r="JC450" s="64"/>
      <c r="JD450" s="64"/>
      <c r="JE450" s="64"/>
      <c r="JF450" s="64"/>
      <c r="JG450" s="64"/>
      <c r="JH450" s="64"/>
      <c r="JI450" s="64"/>
    </row>
    <row r="451" spans="1:269" s="920" customFormat="1" x14ac:dyDescent="0.2">
      <c r="A451" s="116"/>
      <c r="B451" s="64"/>
      <c r="C451" s="64"/>
      <c r="D451" s="64"/>
      <c r="E451" s="64"/>
      <c r="F451" s="64"/>
      <c r="G451" s="64"/>
      <c r="H451" s="64"/>
      <c r="I451" s="64"/>
      <c r="J451" s="116"/>
      <c r="K451" s="116"/>
      <c r="L451" s="116"/>
      <c r="M451" s="116"/>
      <c r="N451" s="116"/>
      <c r="O451" s="116"/>
      <c r="P451" s="116"/>
      <c r="Q451" s="102"/>
      <c r="R451" s="102"/>
      <c r="S451" s="102"/>
      <c r="T451" s="102"/>
      <c r="U451" s="913"/>
      <c r="V451" s="114"/>
      <c r="W451" s="805"/>
      <c r="X451" s="805"/>
      <c r="Y451" s="805"/>
      <c r="Z451" s="914"/>
      <c r="AA451" s="102"/>
      <c r="AB451" s="102"/>
      <c r="AC451" s="102"/>
      <c r="AD451" s="102"/>
      <c r="AE451" s="102"/>
      <c r="AF451" s="102"/>
      <c r="AG451" s="102"/>
      <c r="AH451" s="102"/>
      <c r="AI451" s="102"/>
      <c r="AJ451" s="906"/>
      <c r="AK451" s="102"/>
      <c r="AL451" s="915"/>
      <c r="AM451" s="915"/>
      <c r="AN451" s="114"/>
      <c r="AO451" s="64"/>
      <c r="AP451" s="64"/>
      <c r="AQ451" s="64"/>
      <c r="AR451" s="916"/>
      <c r="AS451" s="916"/>
      <c r="AT451" s="916"/>
      <c r="AU451" s="917"/>
      <c r="AV451" s="917"/>
      <c r="AW451" s="917"/>
      <c r="AX451" s="918"/>
      <c r="AY451" s="916"/>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917"/>
      <c r="CA451" s="917"/>
      <c r="CB451" s="64"/>
      <c r="CC451" s="919"/>
      <c r="CD451" s="919"/>
      <c r="CE451" s="64"/>
      <c r="CF451" s="528"/>
      <c r="CG451" s="529"/>
      <c r="CH451" s="64"/>
      <c r="CI451" s="64"/>
      <c r="CJ451" s="64"/>
      <c r="CK451" s="64"/>
      <c r="CL451" s="64"/>
      <c r="CM451" s="64"/>
      <c r="CN451" s="64"/>
      <c r="CO451" s="64"/>
      <c r="CP451" s="64"/>
      <c r="CQ451" s="64"/>
      <c r="CR451" s="64"/>
      <c r="CS451" s="64"/>
      <c r="CT451" s="64"/>
      <c r="CU451" s="64"/>
      <c r="CV451" s="64"/>
      <c r="CW451" s="64"/>
      <c r="CX451" s="64"/>
      <c r="CY451" s="1011"/>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c r="FC451" s="64"/>
      <c r="FD451" s="64"/>
      <c r="FE451" s="64"/>
      <c r="FF451" s="64"/>
      <c r="FG451" s="64"/>
      <c r="FH451" s="64"/>
      <c r="FI451" s="64"/>
      <c r="FJ451" s="64"/>
      <c r="FK451" s="64"/>
      <c r="FL451" s="64"/>
      <c r="FM451" s="64"/>
      <c r="FN451" s="64"/>
      <c r="FO451" s="64"/>
      <c r="FP451" s="64"/>
      <c r="FQ451" s="64"/>
      <c r="FR451" s="64"/>
      <c r="FS451" s="64"/>
      <c r="FT451" s="64"/>
      <c r="FU451" s="64"/>
      <c r="FV451" s="64"/>
      <c r="FW451" s="64"/>
      <c r="FX451" s="64"/>
      <c r="FY451" s="64"/>
      <c r="FZ451" s="64"/>
      <c r="GA451" s="64"/>
      <c r="GB451" s="64"/>
      <c r="GC451" s="64"/>
      <c r="GD451" s="64"/>
      <c r="GE451" s="64"/>
      <c r="GF451" s="64"/>
      <c r="GG451" s="64"/>
      <c r="GH451" s="64"/>
      <c r="GI451" s="64"/>
      <c r="GJ451" s="64"/>
      <c r="GK451" s="64"/>
      <c r="GL451" s="64"/>
      <c r="GM451" s="64"/>
      <c r="GN451" s="64"/>
      <c r="GO451" s="64"/>
      <c r="GP451" s="64"/>
      <c r="GQ451" s="64"/>
      <c r="GR451" s="64"/>
      <c r="GS451" s="64"/>
      <c r="GT451" s="64"/>
      <c r="GU451" s="64"/>
      <c r="GV451" s="64"/>
      <c r="GW451" s="64"/>
      <c r="GX451" s="64"/>
      <c r="GY451" s="64"/>
      <c r="GZ451" s="64"/>
      <c r="HA451" s="64"/>
      <c r="HB451" s="64"/>
      <c r="HC451" s="64"/>
      <c r="HD451" s="64"/>
      <c r="HE451" s="64"/>
      <c r="HF451" s="64"/>
      <c r="HG451" s="64"/>
      <c r="HH451" s="64"/>
      <c r="HI451" s="64"/>
      <c r="HJ451" s="64"/>
      <c r="HK451" s="64"/>
      <c r="HL451" s="64"/>
      <c r="HM451" s="64"/>
      <c r="HN451" s="64"/>
      <c r="HO451" s="64"/>
      <c r="HP451" s="64"/>
      <c r="HQ451" s="64"/>
      <c r="HR451" s="64"/>
      <c r="HS451" s="64"/>
      <c r="HT451" s="64"/>
      <c r="HU451" s="64"/>
      <c r="HV451" s="64"/>
      <c r="HW451" s="64"/>
      <c r="HX451" s="64"/>
      <c r="HY451" s="64"/>
      <c r="HZ451" s="64"/>
      <c r="IA451" s="64"/>
      <c r="IB451" s="64"/>
      <c r="IC451" s="64"/>
      <c r="ID451" s="64"/>
      <c r="IE451" s="64"/>
      <c r="IF451" s="64"/>
      <c r="IG451" s="64"/>
      <c r="IH451" s="64"/>
      <c r="II451" s="64"/>
      <c r="IJ451" s="64"/>
      <c r="IK451" s="64"/>
      <c r="IL451" s="64"/>
      <c r="IM451" s="64"/>
      <c r="IN451" s="64"/>
      <c r="IO451" s="64"/>
      <c r="IP451" s="64"/>
      <c r="IQ451" s="64"/>
      <c r="IR451" s="64"/>
      <c r="IS451" s="64"/>
      <c r="IT451" s="64"/>
      <c r="IU451" s="64"/>
      <c r="IV451" s="64"/>
      <c r="IW451" s="64"/>
      <c r="IX451" s="64"/>
      <c r="IY451" s="64"/>
      <c r="IZ451" s="64"/>
      <c r="JA451" s="64"/>
      <c r="JB451" s="64"/>
      <c r="JC451" s="64"/>
      <c r="JD451" s="64"/>
      <c r="JE451" s="64"/>
      <c r="JF451" s="64"/>
      <c r="JG451" s="64"/>
      <c r="JH451" s="64"/>
      <c r="JI451" s="64"/>
    </row>
    <row r="452" spans="1:269" s="920" customFormat="1" x14ac:dyDescent="0.2">
      <c r="A452" s="116"/>
      <c r="B452" s="64"/>
      <c r="C452" s="64"/>
      <c r="D452" s="64"/>
      <c r="E452" s="64"/>
      <c r="F452" s="64"/>
      <c r="G452" s="64"/>
      <c r="H452" s="64"/>
      <c r="I452" s="64"/>
      <c r="J452" s="116"/>
      <c r="K452" s="116"/>
      <c r="L452" s="116"/>
      <c r="M452" s="116"/>
      <c r="N452" s="116"/>
      <c r="O452" s="116"/>
      <c r="P452" s="116"/>
      <c r="Q452" s="102"/>
      <c r="R452" s="102"/>
      <c r="S452" s="102"/>
      <c r="T452" s="102"/>
      <c r="U452" s="913"/>
      <c r="V452" s="114"/>
      <c r="W452" s="805"/>
      <c r="X452" s="805"/>
      <c r="Y452" s="805"/>
      <c r="Z452" s="914"/>
      <c r="AA452" s="102"/>
      <c r="AB452" s="102"/>
      <c r="AC452" s="102"/>
      <c r="AD452" s="102"/>
      <c r="AE452" s="102"/>
      <c r="AF452" s="102"/>
      <c r="AG452" s="102"/>
      <c r="AH452" s="102"/>
      <c r="AI452" s="102"/>
      <c r="AJ452" s="906"/>
      <c r="AK452" s="102"/>
      <c r="AL452" s="915"/>
      <c r="AM452" s="915"/>
      <c r="AN452" s="114"/>
      <c r="AO452" s="64"/>
      <c r="AP452" s="64"/>
      <c r="AQ452" s="64"/>
      <c r="AR452" s="916"/>
      <c r="AS452" s="916"/>
      <c r="AT452" s="916"/>
      <c r="AU452" s="917"/>
      <c r="AV452" s="917"/>
      <c r="AW452" s="917"/>
      <c r="AX452" s="918"/>
      <c r="AY452" s="916"/>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917"/>
      <c r="CA452" s="917"/>
      <c r="CB452" s="64"/>
      <c r="CC452" s="919"/>
      <c r="CD452" s="919"/>
      <c r="CE452" s="64"/>
      <c r="CF452" s="528"/>
      <c r="CG452" s="529"/>
      <c r="CH452" s="64"/>
      <c r="CI452" s="64"/>
      <c r="CJ452" s="64"/>
      <c r="CK452" s="64"/>
      <c r="CL452" s="64"/>
      <c r="CM452" s="64"/>
      <c r="CN452" s="64"/>
      <c r="CO452" s="64"/>
      <c r="CP452" s="64"/>
      <c r="CQ452" s="64"/>
      <c r="CR452" s="64"/>
      <c r="CS452" s="64"/>
      <c r="CT452" s="64"/>
      <c r="CU452" s="64"/>
      <c r="CV452" s="64"/>
      <c r="CW452" s="64"/>
      <c r="CX452" s="64"/>
      <c r="CY452" s="1011"/>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c r="FC452" s="64"/>
      <c r="FD452" s="64"/>
      <c r="FE452" s="64"/>
      <c r="FF452" s="64"/>
      <c r="FG452" s="64"/>
      <c r="FH452" s="64"/>
      <c r="FI452" s="64"/>
      <c r="FJ452" s="64"/>
      <c r="FK452" s="64"/>
      <c r="FL452" s="64"/>
      <c r="FM452" s="64"/>
      <c r="FN452" s="64"/>
      <c r="FO452" s="64"/>
      <c r="FP452" s="64"/>
      <c r="FQ452" s="64"/>
      <c r="FR452" s="64"/>
      <c r="FS452" s="64"/>
      <c r="FT452" s="64"/>
      <c r="FU452" s="64"/>
      <c r="FV452" s="64"/>
      <c r="FW452" s="64"/>
      <c r="FX452" s="64"/>
      <c r="FY452" s="64"/>
      <c r="FZ452" s="64"/>
      <c r="GA452" s="64"/>
      <c r="GB452" s="64"/>
      <c r="GC452" s="64"/>
      <c r="GD452" s="64"/>
      <c r="GE452" s="64"/>
      <c r="GF452" s="64"/>
      <c r="GG452" s="64"/>
      <c r="GH452" s="64"/>
      <c r="GI452" s="64"/>
      <c r="GJ452" s="64"/>
      <c r="GK452" s="64"/>
      <c r="GL452" s="64"/>
      <c r="GM452" s="64"/>
      <c r="GN452" s="64"/>
      <c r="GO452" s="64"/>
      <c r="GP452" s="64"/>
      <c r="GQ452" s="64"/>
      <c r="GR452" s="64"/>
      <c r="GS452" s="64"/>
      <c r="GT452" s="64"/>
      <c r="GU452" s="64"/>
      <c r="GV452" s="64"/>
      <c r="GW452" s="64"/>
      <c r="GX452" s="64"/>
      <c r="GY452" s="64"/>
      <c r="GZ452" s="64"/>
      <c r="HA452" s="64"/>
      <c r="HB452" s="64"/>
      <c r="HC452" s="64"/>
      <c r="HD452" s="64"/>
      <c r="HE452" s="64"/>
      <c r="HF452" s="64"/>
      <c r="HG452" s="64"/>
      <c r="HH452" s="64"/>
      <c r="HI452" s="64"/>
      <c r="HJ452" s="64"/>
      <c r="HK452" s="64"/>
      <c r="HL452" s="64"/>
      <c r="HM452" s="64"/>
      <c r="HN452" s="64"/>
      <c r="HO452" s="64"/>
      <c r="HP452" s="64"/>
      <c r="HQ452" s="64"/>
      <c r="HR452" s="64"/>
      <c r="HS452" s="64"/>
      <c r="HT452" s="64"/>
      <c r="HU452" s="64"/>
      <c r="HV452" s="64"/>
      <c r="HW452" s="64"/>
      <c r="HX452" s="64"/>
      <c r="HY452" s="64"/>
      <c r="HZ452" s="64"/>
      <c r="IA452" s="64"/>
      <c r="IB452" s="64"/>
      <c r="IC452" s="64"/>
      <c r="ID452" s="64"/>
      <c r="IE452" s="64"/>
      <c r="IF452" s="64"/>
      <c r="IG452" s="64"/>
      <c r="IH452" s="64"/>
      <c r="II452" s="64"/>
      <c r="IJ452" s="64"/>
      <c r="IK452" s="64"/>
      <c r="IL452" s="64"/>
      <c r="IM452" s="64"/>
      <c r="IN452" s="64"/>
      <c r="IO452" s="64"/>
      <c r="IP452" s="64"/>
      <c r="IQ452" s="64"/>
      <c r="IR452" s="64"/>
      <c r="IS452" s="64"/>
      <c r="IT452" s="64"/>
      <c r="IU452" s="64"/>
      <c r="IV452" s="64"/>
      <c r="IW452" s="64"/>
      <c r="IX452" s="64"/>
      <c r="IY452" s="64"/>
      <c r="IZ452" s="64"/>
      <c r="JA452" s="64"/>
      <c r="JB452" s="64"/>
      <c r="JC452" s="64"/>
      <c r="JD452" s="64"/>
      <c r="JE452" s="64"/>
      <c r="JF452" s="64"/>
      <c r="JG452" s="64"/>
      <c r="JH452" s="64"/>
      <c r="JI452" s="64"/>
    </row>
    <row r="453" spans="1:269" s="920" customFormat="1" x14ac:dyDescent="0.2">
      <c r="A453" s="116"/>
      <c r="B453" s="64"/>
      <c r="C453" s="64"/>
      <c r="D453" s="64"/>
      <c r="E453" s="64"/>
      <c r="F453" s="64"/>
      <c r="G453" s="64"/>
      <c r="H453" s="64"/>
      <c r="I453" s="64"/>
      <c r="J453" s="116"/>
      <c r="K453" s="116"/>
      <c r="L453" s="116"/>
      <c r="M453" s="116"/>
      <c r="N453" s="116"/>
      <c r="O453" s="116"/>
      <c r="P453" s="116"/>
      <c r="Q453" s="102"/>
      <c r="R453" s="102"/>
      <c r="S453" s="102"/>
      <c r="T453" s="102"/>
      <c r="U453" s="913"/>
      <c r="V453" s="114"/>
      <c r="W453" s="805"/>
      <c r="X453" s="805"/>
      <c r="Y453" s="805"/>
      <c r="Z453" s="914"/>
      <c r="AA453" s="102"/>
      <c r="AB453" s="102"/>
      <c r="AC453" s="102"/>
      <c r="AD453" s="102"/>
      <c r="AE453" s="102"/>
      <c r="AF453" s="102"/>
      <c r="AG453" s="102"/>
      <c r="AH453" s="102"/>
      <c r="AI453" s="102"/>
      <c r="AJ453" s="906"/>
      <c r="AK453" s="102"/>
      <c r="AL453" s="915"/>
      <c r="AM453" s="915"/>
      <c r="AN453" s="114"/>
      <c r="AO453" s="64"/>
      <c r="AP453" s="64"/>
      <c r="AQ453" s="64"/>
      <c r="AR453" s="916"/>
      <c r="AS453" s="916"/>
      <c r="AT453" s="916"/>
      <c r="AU453" s="917"/>
      <c r="AV453" s="917"/>
      <c r="AW453" s="917"/>
      <c r="AX453" s="918"/>
      <c r="AY453" s="916"/>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917"/>
      <c r="CA453" s="917"/>
      <c r="CB453" s="64"/>
      <c r="CC453" s="919"/>
      <c r="CD453" s="919"/>
      <c r="CE453" s="64"/>
      <c r="CF453" s="528"/>
      <c r="CG453" s="529"/>
      <c r="CH453" s="64"/>
      <c r="CI453" s="64"/>
      <c r="CJ453" s="64"/>
      <c r="CK453" s="64"/>
      <c r="CL453" s="64"/>
      <c r="CM453" s="64"/>
      <c r="CN453" s="64"/>
      <c r="CO453" s="64"/>
      <c r="CP453" s="64"/>
      <c r="CQ453" s="64"/>
      <c r="CR453" s="64"/>
      <c r="CS453" s="64"/>
      <c r="CT453" s="64"/>
      <c r="CU453" s="64"/>
      <c r="CV453" s="64"/>
      <c r="CW453" s="64"/>
      <c r="CX453" s="64"/>
      <c r="CY453" s="1011"/>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c r="FC453" s="64"/>
      <c r="FD453" s="64"/>
      <c r="FE453" s="64"/>
      <c r="FF453" s="64"/>
      <c r="FG453" s="64"/>
      <c r="FH453" s="64"/>
      <c r="FI453" s="64"/>
      <c r="FJ453" s="64"/>
      <c r="FK453" s="64"/>
      <c r="FL453" s="64"/>
      <c r="FM453" s="64"/>
      <c r="FN453" s="64"/>
      <c r="FO453" s="64"/>
      <c r="FP453" s="64"/>
      <c r="FQ453" s="64"/>
      <c r="FR453" s="64"/>
      <c r="FS453" s="64"/>
      <c r="FT453" s="64"/>
      <c r="FU453" s="64"/>
      <c r="FV453" s="64"/>
      <c r="FW453" s="64"/>
      <c r="FX453" s="64"/>
      <c r="FY453" s="64"/>
      <c r="FZ453" s="64"/>
      <c r="GA453" s="64"/>
      <c r="GB453" s="64"/>
      <c r="GC453" s="64"/>
      <c r="GD453" s="64"/>
      <c r="GE453" s="64"/>
      <c r="GF453" s="64"/>
      <c r="GG453" s="64"/>
      <c r="GH453" s="64"/>
      <c r="GI453" s="64"/>
      <c r="GJ453" s="64"/>
      <c r="GK453" s="64"/>
      <c r="GL453" s="64"/>
      <c r="GM453" s="64"/>
      <c r="GN453" s="64"/>
      <c r="GO453" s="64"/>
      <c r="GP453" s="64"/>
      <c r="GQ453" s="64"/>
      <c r="GR453" s="64"/>
      <c r="GS453" s="64"/>
      <c r="GT453" s="64"/>
      <c r="GU453" s="64"/>
      <c r="GV453" s="64"/>
      <c r="GW453" s="64"/>
      <c r="GX453" s="64"/>
      <c r="GY453" s="64"/>
      <c r="GZ453" s="64"/>
      <c r="HA453" s="64"/>
      <c r="HB453" s="64"/>
      <c r="HC453" s="64"/>
      <c r="HD453" s="64"/>
      <c r="HE453" s="64"/>
      <c r="HF453" s="64"/>
      <c r="HG453" s="64"/>
      <c r="HH453" s="64"/>
      <c r="HI453" s="64"/>
      <c r="HJ453" s="64"/>
      <c r="HK453" s="64"/>
      <c r="HL453" s="64"/>
      <c r="HM453" s="64"/>
      <c r="HN453" s="64"/>
      <c r="HO453" s="64"/>
      <c r="HP453" s="64"/>
      <c r="HQ453" s="64"/>
      <c r="HR453" s="64"/>
      <c r="HS453" s="64"/>
      <c r="HT453" s="64"/>
      <c r="HU453" s="64"/>
      <c r="HV453" s="64"/>
      <c r="HW453" s="64"/>
      <c r="HX453" s="64"/>
      <c r="HY453" s="64"/>
      <c r="HZ453" s="64"/>
      <c r="IA453" s="64"/>
      <c r="IB453" s="64"/>
      <c r="IC453" s="64"/>
      <c r="ID453" s="64"/>
      <c r="IE453" s="64"/>
      <c r="IF453" s="64"/>
      <c r="IG453" s="64"/>
      <c r="IH453" s="64"/>
      <c r="II453" s="64"/>
      <c r="IJ453" s="64"/>
      <c r="IK453" s="64"/>
      <c r="IL453" s="64"/>
      <c r="IM453" s="64"/>
      <c r="IN453" s="64"/>
      <c r="IO453" s="64"/>
      <c r="IP453" s="64"/>
      <c r="IQ453" s="64"/>
      <c r="IR453" s="64"/>
      <c r="IS453" s="64"/>
      <c r="IT453" s="64"/>
      <c r="IU453" s="64"/>
      <c r="IV453" s="64"/>
      <c r="IW453" s="64"/>
      <c r="IX453" s="64"/>
      <c r="IY453" s="64"/>
      <c r="IZ453" s="64"/>
      <c r="JA453" s="64"/>
      <c r="JB453" s="64"/>
      <c r="JC453" s="64"/>
      <c r="JD453" s="64"/>
      <c r="JE453" s="64"/>
      <c r="JF453" s="64"/>
      <c r="JG453" s="64"/>
      <c r="JH453" s="64"/>
      <c r="JI453" s="64"/>
    </row>
    <row r="454" spans="1:269" s="920" customFormat="1" x14ac:dyDescent="0.2">
      <c r="A454" s="116"/>
      <c r="B454" s="64"/>
      <c r="C454" s="64"/>
      <c r="D454" s="64"/>
      <c r="E454" s="64"/>
      <c r="F454" s="64"/>
      <c r="G454" s="64"/>
      <c r="H454" s="64"/>
      <c r="I454" s="64"/>
      <c r="J454" s="116"/>
      <c r="K454" s="116"/>
      <c r="L454" s="116"/>
      <c r="M454" s="116"/>
      <c r="N454" s="116"/>
      <c r="O454" s="116"/>
      <c r="P454" s="116"/>
      <c r="Q454" s="102"/>
      <c r="R454" s="102"/>
      <c r="S454" s="102"/>
      <c r="T454" s="102"/>
      <c r="U454" s="913"/>
      <c r="V454" s="114"/>
      <c r="W454" s="805"/>
      <c r="X454" s="805"/>
      <c r="Y454" s="805"/>
      <c r="Z454" s="914"/>
      <c r="AA454" s="102"/>
      <c r="AB454" s="102"/>
      <c r="AC454" s="102"/>
      <c r="AD454" s="102"/>
      <c r="AE454" s="102"/>
      <c r="AF454" s="102"/>
      <c r="AG454" s="102"/>
      <c r="AH454" s="102"/>
      <c r="AI454" s="102"/>
      <c r="AJ454" s="906"/>
      <c r="AK454" s="102"/>
      <c r="AL454" s="915"/>
      <c r="AM454" s="915"/>
      <c r="AN454" s="114"/>
      <c r="AO454" s="64"/>
      <c r="AP454" s="64"/>
      <c r="AQ454" s="64"/>
      <c r="AR454" s="916"/>
      <c r="AS454" s="916"/>
      <c r="AT454" s="916"/>
      <c r="AU454" s="917"/>
      <c r="AV454" s="917"/>
      <c r="AW454" s="917"/>
      <c r="AX454" s="918"/>
      <c r="AY454" s="916"/>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917"/>
      <c r="CA454" s="917"/>
      <c r="CB454" s="64"/>
      <c r="CC454" s="919"/>
      <c r="CD454" s="919"/>
      <c r="CE454" s="64"/>
      <c r="CF454" s="528"/>
      <c r="CG454" s="529"/>
      <c r="CH454" s="64"/>
      <c r="CI454" s="64"/>
      <c r="CJ454" s="64"/>
      <c r="CK454" s="64"/>
      <c r="CL454" s="64"/>
      <c r="CM454" s="64"/>
      <c r="CN454" s="64"/>
      <c r="CO454" s="64"/>
      <c r="CP454" s="64"/>
      <c r="CQ454" s="64"/>
      <c r="CR454" s="64"/>
      <c r="CS454" s="64"/>
      <c r="CT454" s="64"/>
      <c r="CU454" s="64"/>
      <c r="CV454" s="64"/>
      <c r="CW454" s="64"/>
      <c r="CX454" s="64"/>
      <c r="CY454" s="1011"/>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c r="FC454" s="64"/>
      <c r="FD454" s="64"/>
      <c r="FE454" s="64"/>
      <c r="FF454" s="64"/>
      <c r="FG454" s="64"/>
      <c r="FH454" s="64"/>
      <c r="FI454" s="64"/>
      <c r="FJ454" s="64"/>
      <c r="FK454" s="64"/>
      <c r="FL454" s="64"/>
      <c r="FM454" s="64"/>
      <c r="FN454" s="64"/>
      <c r="FO454" s="64"/>
      <c r="FP454" s="64"/>
      <c r="FQ454" s="64"/>
      <c r="FR454" s="64"/>
      <c r="FS454" s="64"/>
      <c r="FT454" s="64"/>
      <c r="FU454" s="64"/>
      <c r="FV454" s="64"/>
      <c r="FW454" s="64"/>
      <c r="FX454" s="64"/>
      <c r="FY454" s="64"/>
      <c r="FZ454" s="64"/>
      <c r="GA454" s="64"/>
      <c r="GB454" s="64"/>
      <c r="GC454" s="64"/>
      <c r="GD454" s="64"/>
      <c r="GE454" s="64"/>
      <c r="GF454" s="64"/>
      <c r="GG454" s="64"/>
      <c r="GH454" s="64"/>
      <c r="GI454" s="64"/>
      <c r="GJ454" s="64"/>
      <c r="GK454" s="64"/>
      <c r="GL454" s="64"/>
      <c r="GM454" s="64"/>
      <c r="GN454" s="64"/>
      <c r="GO454" s="64"/>
      <c r="GP454" s="64"/>
      <c r="GQ454" s="64"/>
      <c r="GR454" s="64"/>
      <c r="GS454" s="64"/>
      <c r="GT454" s="64"/>
      <c r="GU454" s="64"/>
      <c r="GV454" s="64"/>
      <c r="GW454" s="64"/>
      <c r="GX454" s="64"/>
      <c r="GY454" s="64"/>
      <c r="GZ454" s="64"/>
      <c r="HA454" s="64"/>
      <c r="HB454" s="64"/>
      <c r="HC454" s="64"/>
      <c r="HD454" s="64"/>
      <c r="HE454" s="64"/>
      <c r="HF454" s="64"/>
      <c r="HG454" s="64"/>
      <c r="HH454" s="64"/>
      <c r="HI454" s="64"/>
      <c r="HJ454" s="64"/>
      <c r="HK454" s="64"/>
      <c r="HL454" s="64"/>
      <c r="HM454" s="64"/>
      <c r="HN454" s="64"/>
      <c r="HO454" s="64"/>
      <c r="HP454" s="64"/>
      <c r="HQ454" s="64"/>
      <c r="HR454" s="64"/>
      <c r="HS454" s="64"/>
      <c r="HT454" s="64"/>
      <c r="HU454" s="64"/>
      <c r="HV454" s="64"/>
      <c r="HW454" s="64"/>
      <c r="HX454" s="64"/>
      <c r="HY454" s="64"/>
      <c r="HZ454" s="64"/>
      <c r="IA454" s="64"/>
      <c r="IB454" s="64"/>
      <c r="IC454" s="64"/>
      <c r="ID454" s="64"/>
      <c r="IE454" s="64"/>
      <c r="IF454" s="64"/>
      <c r="IG454" s="64"/>
      <c r="IH454" s="64"/>
      <c r="II454" s="64"/>
      <c r="IJ454" s="64"/>
      <c r="IK454" s="64"/>
      <c r="IL454" s="64"/>
      <c r="IM454" s="64"/>
      <c r="IN454" s="64"/>
      <c r="IO454" s="64"/>
      <c r="IP454" s="64"/>
      <c r="IQ454" s="64"/>
      <c r="IR454" s="64"/>
      <c r="IS454" s="64"/>
      <c r="IT454" s="64"/>
      <c r="IU454" s="64"/>
      <c r="IV454" s="64"/>
      <c r="IW454" s="64"/>
      <c r="IX454" s="64"/>
      <c r="IY454" s="64"/>
      <c r="IZ454" s="64"/>
      <c r="JA454" s="64"/>
      <c r="JB454" s="64"/>
      <c r="JC454" s="64"/>
      <c r="JD454" s="64"/>
      <c r="JE454" s="64"/>
      <c r="JF454" s="64"/>
      <c r="JG454" s="64"/>
      <c r="JH454" s="64"/>
      <c r="JI454" s="64"/>
    </row>
    <row r="455" spans="1:269" s="920" customFormat="1" x14ac:dyDescent="0.2">
      <c r="A455" s="116"/>
      <c r="B455" s="64"/>
      <c r="C455" s="64"/>
      <c r="D455" s="64"/>
      <c r="E455" s="64"/>
      <c r="F455" s="64"/>
      <c r="G455" s="64"/>
      <c r="H455" s="64"/>
      <c r="I455" s="64"/>
      <c r="J455" s="116"/>
      <c r="K455" s="116"/>
      <c r="L455" s="116"/>
      <c r="M455" s="116"/>
      <c r="N455" s="116"/>
      <c r="O455" s="116"/>
      <c r="P455" s="116"/>
      <c r="Q455" s="102"/>
      <c r="R455" s="102"/>
      <c r="S455" s="102"/>
      <c r="T455" s="102"/>
      <c r="U455" s="913"/>
      <c r="V455" s="114"/>
      <c r="W455" s="805"/>
      <c r="X455" s="805"/>
      <c r="Y455" s="805"/>
      <c r="Z455" s="914"/>
      <c r="AA455" s="102"/>
      <c r="AB455" s="102"/>
      <c r="AC455" s="102"/>
      <c r="AD455" s="102"/>
      <c r="AE455" s="102"/>
      <c r="AF455" s="102"/>
      <c r="AG455" s="102"/>
      <c r="AH455" s="102"/>
      <c r="AI455" s="102"/>
      <c r="AJ455" s="906"/>
      <c r="AK455" s="102"/>
      <c r="AL455" s="915"/>
      <c r="AM455" s="915"/>
      <c r="AN455" s="114"/>
      <c r="AO455" s="64"/>
      <c r="AP455" s="64"/>
      <c r="AQ455" s="64"/>
      <c r="AR455" s="916"/>
      <c r="AS455" s="916"/>
      <c r="AT455" s="916"/>
      <c r="AU455" s="917"/>
      <c r="AV455" s="917"/>
      <c r="AW455" s="917"/>
      <c r="AX455" s="918"/>
      <c r="AY455" s="916"/>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917"/>
      <c r="CA455" s="917"/>
      <c r="CB455" s="64"/>
      <c r="CC455" s="919"/>
      <c r="CD455" s="919"/>
      <c r="CE455" s="64"/>
      <c r="CF455" s="528"/>
      <c r="CG455" s="529"/>
      <c r="CH455" s="64"/>
      <c r="CI455" s="64"/>
      <c r="CJ455" s="64"/>
      <c r="CK455" s="64"/>
      <c r="CL455" s="64"/>
      <c r="CM455" s="64"/>
      <c r="CN455" s="64"/>
      <c r="CO455" s="64"/>
      <c r="CP455" s="64"/>
      <c r="CQ455" s="64"/>
      <c r="CR455" s="64"/>
      <c r="CS455" s="64"/>
      <c r="CT455" s="64"/>
      <c r="CU455" s="64"/>
      <c r="CV455" s="64"/>
      <c r="CW455" s="64"/>
      <c r="CX455" s="64"/>
      <c r="CY455" s="1011"/>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c r="FC455" s="64"/>
      <c r="FD455" s="64"/>
      <c r="FE455" s="64"/>
      <c r="FF455" s="64"/>
      <c r="FG455" s="64"/>
      <c r="FH455" s="64"/>
      <c r="FI455" s="64"/>
      <c r="FJ455" s="64"/>
      <c r="FK455" s="64"/>
      <c r="FL455" s="64"/>
      <c r="FM455" s="64"/>
      <c r="FN455" s="64"/>
      <c r="FO455" s="64"/>
      <c r="FP455" s="64"/>
      <c r="FQ455" s="64"/>
      <c r="FR455" s="64"/>
      <c r="FS455" s="64"/>
      <c r="FT455" s="64"/>
      <c r="FU455" s="64"/>
      <c r="FV455" s="64"/>
      <c r="FW455" s="64"/>
      <c r="FX455" s="64"/>
      <c r="FY455" s="64"/>
      <c r="FZ455" s="64"/>
      <c r="GA455" s="64"/>
      <c r="GB455" s="64"/>
      <c r="GC455" s="64"/>
      <c r="GD455" s="64"/>
      <c r="GE455" s="64"/>
      <c r="GF455" s="64"/>
      <c r="GG455" s="64"/>
      <c r="GH455" s="64"/>
      <c r="GI455" s="64"/>
      <c r="GJ455" s="64"/>
      <c r="GK455" s="64"/>
      <c r="GL455" s="64"/>
      <c r="GM455" s="64"/>
      <c r="GN455" s="64"/>
      <c r="GO455" s="64"/>
      <c r="GP455" s="64"/>
      <c r="GQ455" s="64"/>
      <c r="GR455" s="64"/>
      <c r="GS455" s="64"/>
      <c r="GT455" s="64"/>
      <c r="GU455" s="64"/>
      <c r="GV455" s="64"/>
      <c r="GW455" s="64"/>
      <c r="GX455" s="64"/>
      <c r="GY455" s="64"/>
      <c r="GZ455" s="64"/>
      <c r="HA455" s="64"/>
      <c r="HB455" s="64"/>
      <c r="HC455" s="64"/>
      <c r="HD455" s="64"/>
      <c r="HE455" s="64"/>
      <c r="HF455" s="64"/>
      <c r="HG455" s="64"/>
      <c r="HH455" s="64"/>
      <c r="HI455" s="64"/>
      <c r="HJ455" s="64"/>
      <c r="HK455" s="64"/>
      <c r="HL455" s="64"/>
      <c r="HM455" s="64"/>
      <c r="HN455" s="64"/>
      <c r="HO455" s="64"/>
      <c r="HP455" s="64"/>
      <c r="HQ455" s="64"/>
      <c r="HR455" s="64"/>
      <c r="HS455" s="64"/>
      <c r="HT455" s="64"/>
      <c r="HU455" s="64"/>
      <c r="HV455" s="64"/>
      <c r="HW455" s="64"/>
      <c r="HX455" s="64"/>
      <c r="HY455" s="64"/>
      <c r="HZ455" s="64"/>
      <c r="IA455" s="64"/>
      <c r="IB455" s="64"/>
      <c r="IC455" s="64"/>
      <c r="ID455" s="64"/>
      <c r="IE455" s="64"/>
      <c r="IF455" s="64"/>
      <c r="IG455" s="64"/>
      <c r="IH455" s="64"/>
      <c r="II455" s="64"/>
      <c r="IJ455" s="64"/>
      <c r="IK455" s="64"/>
      <c r="IL455" s="64"/>
      <c r="IM455" s="64"/>
      <c r="IN455" s="64"/>
      <c r="IO455" s="64"/>
      <c r="IP455" s="64"/>
      <c r="IQ455" s="64"/>
      <c r="IR455" s="64"/>
      <c r="IS455" s="64"/>
      <c r="IT455" s="64"/>
      <c r="IU455" s="64"/>
      <c r="IV455" s="64"/>
      <c r="IW455" s="64"/>
      <c r="IX455" s="64"/>
      <c r="IY455" s="64"/>
      <c r="IZ455" s="64"/>
      <c r="JA455" s="64"/>
      <c r="JB455" s="64"/>
      <c r="JC455" s="64"/>
      <c r="JD455" s="64"/>
      <c r="JE455" s="64"/>
      <c r="JF455" s="64"/>
      <c r="JG455" s="64"/>
      <c r="JH455" s="64"/>
      <c r="JI455" s="64"/>
    </row>
    <row r="456" spans="1:269" s="920" customFormat="1" x14ac:dyDescent="0.2">
      <c r="A456" s="116"/>
      <c r="B456" s="64"/>
      <c r="C456" s="64"/>
      <c r="D456" s="64"/>
      <c r="E456" s="64"/>
      <c r="F456" s="64"/>
      <c r="G456" s="64"/>
      <c r="H456" s="64"/>
      <c r="I456" s="64"/>
      <c r="J456" s="116"/>
      <c r="K456" s="116"/>
      <c r="L456" s="116"/>
      <c r="M456" s="116"/>
      <c r="N456" s="116"/>
      <c r="O456" s="116"/>
      <c r="P456" s="116"/>
      <c r="Q456" s="102"/>
      <c r="R456" s="102"/>
      <c r="S456" s="102"/>
      <c r="T456" s="102"/>
      <c r="U456" s="913"/>
      <c r="V456" s="114"/>
      <c r="W456" s="805"/>
      <c r="X456" s="805"/>
      <c r="Y456" s="805"/>
      <c r="Z456" s="914"/>
      <c r="AA456" s="102"/>
      <c r="AB456" s="102"/>
      <c r="AC456" s="102"/>
      <c r="AD456" s="102"/>
      <c r="AE456" s="102"/>
      <c r="AF456" s="102"/>
      <c r="AG456" s="102"/>
      <c r="AH456" s="102"/>
      <c r="AI456" s="102"/>
      <c r="AJ456" s="906"/>
      <c r="AK456" s="102"/>
      <c r="AL456" s="915"/>
      <c r="AM456" s="915"/>
      <c r="AN456" s="114"/>
      <c r="AO456" s="64"/>
      <c r="AP456" s="64"/>
      <c r="AQ456" s="64"/>
      <c r="AR456" s="916"/>
      <c r="AS456" s="916"/>
      <c r="AT456" s="916"/>
      <c r="AU456" s="917"/>
      <c r="AV456" s="917"/>
      <c r="AW456" s="917"/>
      <c r="AX456" s="918"/>
      <c r="AY456" s="916"/>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917"/>
      <c r="CA456" s="917"/>
      <c r="CB456" s="64"/>
      <c r="CC456" s="919"/>
      <c r="CD456" s="919"/>
      <c r="CE456" s="64"/>
      <c r="CF456" s="528"/>
      <c r="CG456" s="529"/>
      <c r="CH456" s="64"/>
      <c r="CI456" s="64"/>
      <c r="CJ456" s="64"/>
      <c r="CK456" s="64"/>
      <c r="CL456" s="64"/>
      <c r="CM456" s="64"/>
      <c r="CN456" s="64"/>
      <c r="CO456" s="64"/>
      <c r="CP456" s="64"/>
      <c r="CQ456" s="64"/>
      <c r="CR456" s="64"/>
      <c r="CS456" s="64"/>
      <c r="CT456" s="64"/>
      <c r="CU456" s="64"/>
      <c r="CV456" s="64"/>
      <c r="CW456" s="64"/>
      <c r="CX456" s="64"/>
      <c r="CY456" s="1011"/>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c r="FC456" s="64"/>
      <c r="FD456" s="64"/>
      <c r="FE456" s="64"/>
      <c r="FF456" s="64"/>
      <c r="FG456" s="64"/>
      <c r="FH456" s="64"/>
      <c r="FI456" s="64"/>
      <c r="FJ456" s="64"/>
      <c r="FK456" s="64"/>
      <c r="FL456" s="64"/>
      <c r="FM456" s="64"/>
      <c r="FN456" s="64"/>
      <c r="FO456" s="64"/>
      <c r="FP456" s="64"/>
      <c r="FQ456" s="64"/>
      <c r="FR456" s="64"/>
      <c r="FS456" s="64"/>
      <c r="FT456" s="64"/>
      <c r="FU456" s="64"/>
      <c r="FV456" s="64"/>
      <c r="FW456" s="64"/>
      <c r="FX456" s="64"/>
      <c r="FY456" s="64"/>
      <c r="FZ456" s="64"/>
      <c r="GA456" s="64"/>
      <c r="GB456" s="64"/>
      <c r="GC456" s="64"/>
      <c r="GD456" s="64"/>
      <c r="GE456" s="64"/>
      <c r="GF456" s="64"/>
      <c r="GG456" s="64"/>
      <c r="GH456" s="64"/>
      <c r="GI456" s="64"/>
      <c r="GJ456" s="64"/>
      <c r="GK456" s="64"/>
      <c r="GL456" s="64"/>
      <c r="GM456" s="64"/>
      <c r="GN456" s="64"/>
      <c r="GO456" s="64"/>
      <c r="GP456" s="64"/>
      <c r="GQ456" s="64"/>
      <c r="GR456" s="64"/>
      <c r="GS456" s="64"/>
      <c r="GT456" s="64"/>
      <c r="GU456" s="64"/>
      <c r="GV456" s="64"/>
      <c r="GW456" s="64"/>
      <c r="GX456" s="64"/>
      <c r="GY456" s="64"/>
      <c r="GZ456" s="64"/>
      <c r="HA456" s="64"/>
      <c r="HB456" s="64"/>
      <c r="HC456" s="64"/>
      <c r="HD456" s="64"/>
      <c r="HE456" s="64"/>
      <c r="HF456" s="64"/>
      <c r="HG456" s="64"/>
      <c r="HH456" s="64"/>
      <c r="HI456" s="64"/>
      <c r="HJ456" s="64"/>
      <c r="HK456" s="64"/>
      <c r="HL456" s="64"/>
      <c r="HM456" s="64"/>
      <c r="HN456" s="64"/>
      <c r="HO456" s="64"/>
      <c r="HP456" s="64"/>
      <c r="HQ456" s="64"/>
      <c r="HR456" s="64"/>
      <c r="HS456" s="64"/>
      <c r="HT456" s="64"/>
      <c r="HU456" s="64"/>
      <c r="HV456" s="64"/>
      <c r="HW456" s="64"/>
      <c r="HX456" s="64"/>
      <c r="HY456" s="64"/>
      <c r="HZ456" s="64"/>
      <c r="IA456" s="64"/>
      <c r="IB456" s="64"/>
      <c r="IC456" s="64"/>
      <c r="ID456" s="64"/>
      <c r="IE456" s="64"/>
      <c r="IF456" s="64"/>
      <c r="IG456" s="64"/>
      <c r="IH456" s="64"/>
      <c r="II456" s="64"/>
      <c r="IJ456" s="64"/>
      <c r="IK456" s="64"/>
      <c r="IL456" s="64"/>
      <c r="IM456" s="64"/>
      <c r="IN456" s="64"/>
      <c r="IO456" s="64"/>
      <c r="IP456" s="64"/>
      <c r="IQ456" s="64"/>
      <c r="IR456" s="64"/>
      <c r="IS456" s="64"/>
      <c r="IT456" s="64"/>
      <c r="IU456" s="64"/>
      <c r="IV456" s="64"/>
      <c r="IW456" s="64"/>
      <c r="IX456" s="64"/>
      <c r="IY456" s="64"/>
      <c r="IZ456" s="64"/>
      <c r="JA456" s="64"/>
      <c r="JB456" s="64"/>
      <c r="JC456" s="64"/>
      <c r="JD456" s="64"/>
      <c r="JE456" s="64"/>
      <c r="JF456" s="64"/>
      <c r="JG456" s="64"/>
      <c r="JH456" s="64"/>
      <c r="JI456" s="64"/>
    </row>
    <row r="457" spans="1:269" s="920" customFormat="1" x14ac:dyDescent="0.2">
      <c r="A457" s="116"/>
      <c r="B457" s="64"/>
      <c r="C457" s="64"/>
      <c r="D457" s="64"/>
      <c r="E457" s="64"/>
      <c r="F457" s="64"/>
      <c r="G457" s="64"/>
      <c r="H457" s="64"/>
      <c r="I457" s="64"/>
      <c r="J457" s="116"/>
      <c r="K457" s="116"/>
      <c r="L457" s="116"/>
      <c r="M457" s="116"/>
      <c r="N457" s="116"/>
      <c r="O457" s="116"/>
      <c r="P457" s="116"/>
      <c r="Q457" s="102"/>
      <c r="R457" s="102"/>
      <c r="S457" s="102"/>
      <c r="T457" s="102"/>
      <c r="U457" s="913"/>
      <c r="V457" s="114"/>
      <c r="W457" s="805"/>
      <c r="X457" s="805"/>
      <c r="Y457" s="805"/>
      <c r="Z457" s="914"/>
      <c r="AA457" s="102"/>
      <c r="AB457" s="102"/>
      <c r="AC457" s="102"/>
      <c r="AD457" s="102"/>
      <c r="AE457" s="102"/>
      <c r="AF457" s="102"/>
      <c r="AG457" s="102"/>
      <c r="AH457" s="102"/>
      <c r="AI457" s="102"/>
      <c r="AJ457" s="906"/>
      <c r="AK457" s="102"/>
      <c r="AL457" s="915"/>
      <c r="AM457" s="915"/>
      <c r="AN457" s="114"/>
      <c r="AO457" s="64"/>
      <c r="AP457" s="64"/>
      <c r="AQ457" s="64"/>
      <c r="AR457" s="916"/>
      <c r="AS457" s="916"/>
      <c r="AT457" s="916"/>
      <c r="AU457" s="917"/>
      <c r="AV457" s="917"/>
      <c r="AW457" s="917"/>
      <c r="AX457" s="918"/>
      <c r="AY457" s="916"/>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917"/>
      <c r="CA457" s="917"/>
      <c r="CB457" s="64"/>
      <c r="CC457" s="919"/>
      <c r="CD457" s="919"/>
      <c r="CE457" s="64"/>
      <c r="CF457" s="528"/>
      <c r="CG457" s="529"/>
      <c r="CH457" s="64"/>
      <c r="CI457" s="64"/>
      <c r="CJ457" s="64"/>
      <c r="CK457" s="64"/>
      <c r="CL457" s="64"/>
      <c r="CM457" s="64"/>
      <c r="CN457" s="64"/>
      <c r="CO457" s="64"/>
      <c r="CP457" s="64"/>
      <c r="CQ457" s="64"/>
      <c r="CR457" s="64"/>
      <c r="CS457" s="64"/>
      <c r="CT457" s="64"/>
      <c r="CU457" s="64"/>
      <c r="CV457" s="64"/>
      <c r="CW457" s="64"/>
      <c r="CX457" s="64"/>
      <c r="CY457" s="1011"/>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c r="FC457" s="64"/>
      <c r="FD457" s="64"/>
      <c r="FE457" s="64"/>
      <c r="FF457" s="64"/>
      <c r="FG457" s="64"/>
      <c r="FH457" s="64"/>
      <c r="FI457" s="64"/>
      <c r="FJ457" s="64"/>
      <c r="FK457" s="64"/>
      <c r="FL457" s="64"/>
      <c r="FM457" s="64"/>
      <c r="FN457" s="64"/>
      <c r="FO457" s="64"/>
      <c r="FP457" s="64"/>
      <c r="FQ457" s="64"/>
      <c r="FR457" s="64"/>
      <c r="FS457" s="64"/>
      <c r="FT457" s="64"/>
      <c r="FU457" s="64"/>
      <c r="FV457" s="64"/>
      <c r="FW457" s="64"/>
      <c r="FX457" s="64"/>
      <c r="FY457" s="64"/>
      <c r="FZ457" s="64"/>
      <c r="GA457" s="64"/>
      <c r="GB457" s="64"/>
      <c r="GC457" s="64"/>
      <c r="GD457" s="64"/>
      <c r="GE457" s="64"/>
      <c r="GF457" s="64"/>
      <c r="GG457" s="64"/>
      <c r="GH457" s="64"/>
      <c r="GI457" s="64"/>
      <c r="GJ457" s="64"/>
      <c r="GK457" s="64"/>
      <c r="GL457" s="64"/>
      <c r="GM457" s="64"/>
      <c r="GN457" s="64"/>
      <c r="GO457" s="64"/>
      <c r="GP457" s="64"/>
      <c r="GQ457" s="64"/>
      <c r="GR457" s="64"/>
      <c r="GS457" s="64"/>
      <c r="GT457" s="64"/>
      <c r="GU457" s="64"/>
      <c r="GV457" s="64"/>
      <c r="GW457" s="64"/>
      <c r="GX457" s="64"/>
      <c r="GY457" s="64"/>
      <c r="GZ457" s="64"/>
      <c r="HA457" s="64"/>
      <c r="HB457" s="64"/>
      <c r="HC457" s="64"/>
      <c r="HD457" s="64"/>
      <c r="HE457" s="64"/>
      <c r="HF457" s="64"/>
      <c r="HG457" s="64"/>
      <c r="HH457" s="64"/>
      <c r="HI457" s="64"/>
      <c r="HJ457" s="64"/>
      <c r="HK457" s="64"/>
      <c r="HL457" s="64"/>
      <c r="HM457" s="64"/>
      <c r="HN457" s="64"/>
      <c r="HO457" s="64"/>
      <c r="HP457" s="64"/>
      <c r="HQ457" s="64"/>
      <c r="HR457" s="64"/>
      <c r="HS457" s="64"/>
      <c r="HT457" s="64"/>
      <c r="HU457" s="64"/>
      <c r="HV457" s="64"/>
      <c r="HW457" s="64"/>
      <c r="HX457" s="64"/>
      <c r="HY457" s="64"/>
      <c r="HZ457" s="64"/>
      <c r="IA457" s="64"/>
      <c r="IB457" s="64"/>
      <c r="IC457" s="64"/>
      <c r="ID457" s="64"/>
      <c r="IE457" s="64"/>
      <c r="IF457" s="64"/>
      <c r="IG457" s="64"/>
      <c r="IH457" s="64"/>
      <c r="II457" s="64"/>
      <c r="IJ457" s="64"/>
      <c r="IK457" s="64"/>
      <c r="IL457" s="64"/>
      <c r="IM457" s="64"/>
      <c r="IN457" s="64"/>
      <c r="IO457" s="64"/>
      <c r="IP457" s="64"/>
      <c r="IQ457" s="64"/>
      <c r="IR457" s="64"/>
      <c r="IS457" s="64"/>
      <c r="IT457" s="64"/>
      <c r="IU457" s="64"/>
      <c r="IV457" s="64"/>
      <c r="IW457" s="64"/>
      <c r="IX457" s="64"/>
      <c r="IY457" s="64"/>
      <c r="IZ457" s="64"/>
      <c r="JA457" s="64"/>
      <c r="JB457" s="64"/>
      <c r="JC457" s="64"/>
      <c r="JD457" s="64"/>
      <c r="JE457" s="64"/>
      <c r="JF457" s="64"/>
      <c r="JG457" s="64"/>
      <c r="JH457" s="64"/>
      <c r="JI457" s="64"/>
    </row>
    <row r="458" spans="1:269" s="920" customFormat="1" x14ac:dyDescent="0.2">
      <c r="A458" s="116"/>
      <c r="B458" s="64"/>
      <c r="C458" s="64"/>
      <c r="D458" s="64"/>
      <c r="E458" s="64"/>
      <c r="F458" s="64"/>
      <c r="G458" s="64"/>
      <c r="H458" s="64"/>
      <c r="I458" s="64"/>
      <c r="J458" s="116"/>
      <c r="K458" s="116"/>
      <c r="L458" s="116"/>
      <c r="M458" s="116"/>
      <c r="N458" s="116"/>
      <c r="O458" s="116"/>
      <c r="P458" s="116"/>
      <c r="Q458" s="102"/>
      <c r="R458" s="102"/>
      <c r="S458" s="102"/>
      <c r="T458" s="102"/>
      <c r="U458" s="913"/>
      <c r="V458" s="114"/>
      <c r="W458" s="805"/>
      <c r="X458" s="805"/>
      <c r="Y458" s="805"/>
      <c r="Z458" s="914"/>
      <c r="AA458" s="102"/>
      <c r="AB458" s="102"/>
      <c r="AC458" s="102"/>
      <c r="AD458" s="102"/>
      <c r="AE458" s="102"/>
      <c r="AF458" s="102"/>
      <c r="AG458" s="102"/>
      <c r="AH458" s="102"/>
      <c r="AI458" s="102"/>
      <c r="AJ458" s="906"/>
      <c r="AK458" s="102"/>
      <c r="AL458" s="915"/>
      <c r="AM458" s="915"/>
      <c r="AN458" s="114"/>
      <c r="AO458" s="64"/>
      <c r="AP458" s="64"/>
      <c r="AQ458" s="64"/>
      <c r="AR458" s="916"/>
      <c r="AS458" s="916"/>
      <c r="AT458" s="916"/>
      <c r="AU458" s="917"/>
      <c r="AV458" s="917"/>
      <c r="AW458" s="917"/>
      <c r="AX458" s="918"/>
      <c r="AY458" s="916"/>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917"/>
      <c r="CA458" s="917"/>
      <c r="CB458" s="64"/>
      <c r="CC458" s="919"/>
      <c r="CD458" s="919"/>
      <c r="CE458" s="64"/>
      <c r="CF458" s="528"/>
      <c r="CG458" s="529"/>
      <c r="CH458" s="64"/>
      <c r="CI458" s="64"/>
      <c r="CJ458" s="64"/>
      <c r="CK458" s="64"/>
      <c r="CL458" s="64"/>
      <c r="CM458" s="64"/>
      <c r="CN458" s="64"/>
      <c r="CO458" s="64"/>
      <c r="CP458" s="64"/>
      <c r="CQ458" s="64"/>
      <c r="CR458" s="64"/>
      <c r="CS458" s="64"/>
      <c r="CT458" s="64"/>
      <c r="CU458" s="64"/>
      <c r="CV458" s="64"/>
      <c r="CW458" s="64"/>
      <c r="CX458" s="64"/>
      <c r="CY458" s="1011"/>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c r="FC458" s="64"/>
      <c r="FD458" s="64"/>
      <c r="FE458" s="64"/>
      <c r="FF458" s="64"/>
      <c r="FG458" s="64"/>
      <c r="FH458" s="64"/>
      <c r="FI458" s="64"/>
      <c r="FJ458" s="64"/>
      <c r="FK458" s="64"/>
      <c r="FL458" s="64"/>
      <c r="FM458" s="64"/>
      <c r="FN458" s="64"/>
      <c r="FO458" s="64"/>
      <c r="FP458" s="64"/>
      <c r="FQ458" s="64"/>
      <c r="FR458" s="64"/>
      <c r="FS458" s="64"/>
      <c r="FT458" s="64"/>
      <c r="FU458" s="64"/>
      <c r="FV458" s="64"/>
      <c r="FW458" s="64"/>
      <c r="FX458" s="64"/>
      <c r="FY458" s="64"/>
      <c r="FZ458" s="64"/>
      <c r="GA458" s="64"/>
      <c r="GB458" s="64"/>
      <c r="GC458" s="64"/>
      <c r="GD458" s="64"/>
      <c r="GE458" s="64"/>
      <c r="GF458" s="64"/>
      <c r="GG458" s="64"/>
      <c r="GH458" s="64"/>
      <c r="GI458" s="64"/>
      <c r="GJ458" s="64"/>
      <c r="GK458" s="64"/>
      <c r="GL458" s="64"/>
      <c r="GM458" s="64"/>
      <c r="GN458" s="64"/>
      <c r="GO458" s="64"/>
      <c r="GP458" s="64"/>
      <c r="GQ458" s="64"/>
      <c r="GR458" s="64"/>
      <c r="GS458" s="64"/>
      <c r="GT458" s="64"/>
      <c r="GU458" s="64"/>
      <c r="GV458" s="64"/>
      <c r="GW458" s="64"/>
      <c r="GX458" s="64"/>
      <c r="GY458" s="64"/>
      <c r="GZ458" s="64"/>
      <c r="HA458" s="64"/>
      <c r="HB458" s="64"/>
      <c r="HC458" s="64"/>
      <c r="HD458" s="64"/>
      <c r="HE458" s="64"/>
      <c r="HF458" s="64"/>
      <c r="HG458" s="64"/>
      <c r="HH458" s="64"/>
      <c r="HI458" s="64"/>
      <c r="HJ458" s="64"/>
      <c r="HK458" s="64"/>
      <c r="HL458" s="64"/>
      <c r="HM458" s="64"/>
      <c r="HN458" s="64"/>
      <c r="HO458" s="64"/>
      <c r="HP458" s="64"/>
      <c r="HQ458" s="64"/>
      <c r="HR458" s="64"/>
      <c r="HS458" s="64"/>
      <c r="HT458" s="64"/>
      <c r="HU458" s="64"/>
      <c r="HV458" s="64"/>
      <c r="HW458" s="64"/>
      <c r="HX458" s="64"/>
      <c r="HY458" s="64"/>
      <c r="HZ458" s="64"/>
      <c r="IA458" s="64"/>
      <c r="IB458" s="64"/>
      <c r="IC458" s="64"/>
      <c r="ID458" s="64"/>
      <c r="IE458" s="64"/>
      <c r="IF458" s="64"/>
      <c r="IG458" s="64"/>
      <c r="IH458" s="64"/>
      <c r="II458" s="64"/>
      <c r="IJ458" s="64"/>
      <c r="IK458" s="64"/>
      <c r="IL458" s="64"/>
      <c r="IM458" s="64"/>
      <c r="IN458" s="64"/>
      <c r="IO458" s="64"/>
      <c r="IP458" s="64"/>
      <c r="IQ458" s="64"/>
      <c r="IR458" s="64"/>
      <c r="IS458" s="64"/>
      <c r="IT458" s="64"/>
      <c r="IU458" s="64"/>
      <c r="IV458" s="64"/>
      <c r="IW458" s="64"/>
      <c r="IX458" s="64"/>
      <c r="IY458" s="64"/>
      <c r="IZ458" s="64"/>
      <c r="JA458" s="64"/>
      <c r="JB458" s="64"/>
      <c r="JC458" s="64"/>
      <c r="JD458" s="64"/>
      <c r="JE458" s="64"/>
      <c r="JF458" s="64"/>
      <c r="JG458" s="64"/>
      <c r="JH458" s="64"/>
      <c r="JI458" s="64"/>
    </row>
    <row r="459" spans="1:269" s="920" customFormat="1" x14ac:dyDescent="0.2">
      <c r="A459" s="116"/>
      <c r="B459" s="64"/>
      <c r="C459" s="64"/>
      <c r="D459" s="64"/>
      <c r="E459" s="64"/>
      <c r="F459" s="64"/>
      <c r="G459" s="64"/>
      <c r="H459" s="64"/>
      <c r="I459" s="64"/>
      <c r="J459" s="116"/>
      <c r="K459" s="116"/>
      <c r="L459" s="116"/>
      <c r="M459" s="116"/>
      <c r="N459" s="116"/>
      <c r="O459" s="116"/>
      <c r="P459" s="116"/>
      <c r="Q459" s="102"/>
      <c r="R459" s="102"/>
      <c r="S459" s="102"/>
      <c r="T459" s="102"/>
      <c r="U459" s="913"/>
      <c r="V459" s="114"/>
      <c r="W459" s="805"/>
      <c r="X459" s="805"/>
      <c r="Y459" s="805"/>
      <c r="Z459" s="914"/>
      <c r="AA459" s="102"/>
      <c r="AB459" s="102"/>
      <c r="AC459" s="102"/>
      <c r="AD459" s="102"/>
      <c r="AE459" s="102"/>
      <c r="AF459" s="102"/>
      <c r="AG459" s="102"/>
      <c r="AH459" s="102"/>
      <c r="AI459" s="102"/>
      <c r="AJ459" s="906"/>
      <c r="AK459" s="102"/>
      <c r="AL459" s="915"/>
      <c r="AM459" s="915"/>
      <c r="AN459" s="114"/>
      <c r="AO459" s="64"/>
      <c r="AP459" s="64"/>
      <c r="AQ459" s="64"/>
      <c r="AR459" s="916"/>
      <c r="AS459" s="916"/>
      <c r="AT459" s="916"/>
      <c r="AU459" s="917"/>
      <c r="AV459" s="917"/>
      <c r="AW459" s="917"/>
      <c r="AX459" s="918"/>
      <c r="AY459" s="916"/>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917"/>
      <c r="CA459" s="917"/>
      <c r="CB459" s="64"/>
      <c r="CC459" s="919"/>
      <c r="CD459" s="919"/>
      <c r="CE459" s="64"/>
      <c r="CF459" s="528"/>
      <c r="CG459" s="529"/>
      <c r="CH459" s="64"/>
      <c r="CI459" s="64"/>
      <c r="CJ459" s="64"/>
      <c r="CK459" s="64"/>
      <c r="CL459" s="64"/>
      <c r="CM459" s="64"/>
      <c r="CN459" s="64"/>
      <c r="CO459" s="64"/>
      <c r="CP459" s="64"/>
      <c r="CQ459" s="64"/>
      <c r="CR459" s="64"/>
      <c r="CS459" s="64"/>
      <c r="CT459" s="64"/>
      <c r="CU459" s="64"/>
      <c r="CV459" s="64"/>
      <c r="CW459" s="64"/>
      <c r="CX459" s="64"/>
      <c r="CY459" s="1011"/>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c r="FC459" s="64"/>
      <c r="FD459" s="64"/>
      <c r="FE459" s="64"/>
      <c r="FF459" s="64"/>
      <c r="FG459" s="64"/>
      <c r="FH459" s="64"/>
      <c r="FI459" s="64"/>
      <c r="FJ459" s="64"/>
      <c r="FK459" s="64"/>
      <c r="FL459" s="64"/>
      <c r="FM459" s="64"/>
      <c r="FN459" s="64"/>
      <c r="FO459" s="64"/>
      <c r="FP459" s="64"/>
      <c r="FQ459" s="64"/>
      <c r="FR459" s="64"/>
      <c r="FS459" s="64"/>
      <c r="FT459" s="64"/>
      <c r="FU459" s="64"/>
      <c r="FV459" s="64"/>
      <c r="FW459" s="64"/>
      <c r="FX459" s="64"/>
      <c r="FY459" s="64"/>
      <c r="FZ459" s="64"/>
      <c r="GA459" s="64"/>
      <c r="GB459" s="64"/>
      <c r="GC459" s="64"/>
      <c r="GD459" s="64"/>
      <c r="GE459" s="64"/>
      <c r="GF459" s="64"/>
      <c r="GG459" s="64"/>
      <c r="GH459" s="64"/>
      <c r="GI459" s="64"/>
      <c r="GJ459" s="64"/>
      <c r="GK459" s="64"/>
      <c r="GL459" s="64"/>
      <c r="GM459" s="64"/>
      <c r="GN459" s="64"/>
      <c r="GO459" s="64"/>
      <c r="GP459" s="64"/>
      <c r="GQ459" s="64"/>
      <c r="GR459" s="64"/>
      <c r="GS459" s="64"/>
      <c r="GT459" s="64"/>
      <c r="GU459" s="64"/>
      <c r="GV459" s="64"/>
      <c r="GW459" s="64"/>
      <c r="GX459" s="64"/>
      <c r="GY459" s="64"/>
      <c r="GZ459" s="64"/>
      <c r="HA459" s="64"/>
      <c r="HB459" s="64"/>
      <c r="HC459" s="64"/>
      <c r="HD459" s="64"/>
      <c r="HE459" s="64"/>
      <c r="HF459" s="64"/>
      <c r="HG459" s="64"/>
      <c r="HH459" s="64"/>
      <c r="HI459" s="64"/>
      <c r="HJ459" s="64"/>
      <c r="HK459" s="64"/>
      <c r="HL459" s="64"/>
      <c r="HM459" s="64"/>
      <c r="HN459" s="64"/>
      <c r="HO459" s="64"/>
      <c r="HP459" s="64"/>
      <c r="HQ459" s="64"/>
      <c r="HR459" s="64"/>
      <c r="HS459" s="64"/>
      <c r="HT459" s="64"/>
      <c r="HU459" s="64"/>
      <c r="HV459" s="64"/>
      <c r="HW459" s="64"/>
      <c r="HX459" s="64"/>
      <c r="HY459" s="64"/>
      <c r="HZ459" s="64"/>
      <c r="IA459" s="64"/>
      <c r="IB459" s="64"/>
      <c r="IC459" s="64"/>
      <c r="ID459" s="64"/>
      <c r="IE459" s="64"/>
      <c r="IF459" s="64"/>
      <c r="IG459" s="64"/>
      <c r="IH459" s="64"/>
      <c r="II459" s="64"/>
      <c r="IJ459" s="64"/>
      <c r="IK459" s="64"/>
      <c r="IL459" s="64"/>
      <c r="IM459" s="64"/>
      <c r="IN459" s="64"/>
      <c r="IO459" s="64"/>
      <c r="IP459" s="64"/>
      <c r="IQ459" s="64"/>
      <c r="IR459" s="64"/>
      <c r="IS459" s="64"/>
      <c r="IT459" s="64"/>
      <c r="IU459" s="64"/>
      <c r="IV459" s="64"/>
      <c r="IW459" s="64"/>
      <c r="IX459" s="64"/>
      <c r="IY459" s="64"/>
      <c r="IZ459" s="64"/>
      <c r="JA459" s="64"/>
      <c r="JB459" s="64"/>
      <c r="JC459" s="64"/>
      <c r="JD459" s="64"/>
      <c r="JE459" s="64"/>
      <c r="JF459" s="64"/>
      <c r="JG459" s="64"/>
      <c r="JH459" s="64"/>
      <c r="JI459" s="64"/>
    </row>
    <row r="460" spans="1:269" s="920" customFormat="1" x14ac:dyDescent="0.2">
      <c r="A460" s="116"/>
      <c r="B460" s="64"/>
      <c r="C460" s="64"/>
      <c r="D460" s="64"/>
      <c r="E460" s="64"/>
      <c r="F460" s="64"/>
      <c r="G460" s="64"/>
      <c r="H460" s="64"/>
      <c r="I460" s="64"/>
      <c r="J460" s="116"/>
      <c r="K460" s="116"/>
      <c r="L460" s="116"/>
      <c r="M460" s="116"/>
      <c r="N460" s="116"/>
      <c r="O460" s="116"/>
      <c r="P460" s="116"/>
      <c r="Q460" s="102"/>
      <c r="R460" s="102"/>
      <c r="S460" s="102"/>
      <c r="T460" s="102"/>
      <c r="U460" s="913"/>
      <c r="V460" s="114"/>
      <c r="W460" s="805"/>
      <c r="X460" s="805"/>
      <c r="Y460" s="805"/>
      <c r="Z460" s="914"/>
      <c r="AA460" s="102"/>
      <c r="AB460" s="102"/>
      <c r="AC460" s="102"/>
      <c r="AD460" s="102"/>
      <c r="AE460" s="102"/>
      <c r="AF460" s="102"/>
      <c r="AG460" s="102"/>
      <c r="AH460" s="102"/>
      <c r="AI460" s="102"/>
      <c r="AJ460" s="906"/>
      <c r="AK460" s="102"/>
      <c r="AL460" s="915"/>
      <c r="AM460" s="915"/>
      <c r="AN460" s="114"/>
      <c r="AO460" s="64"/>
      <c r="AP460" s="64"/>
      <c r="AQ460" s="64"/>
      <c r="AR460" s="916"/>
      <c r="AS460" s="916"/>
      <c r="AT460" s="916"/>
      <c r="AU460" s="917"/>
      <c r="AV460" s="917"/>
      <c r="AW460" s="917"/>
      <c r="AX460" s="918"/>
      <c r="AY460" s="916"/>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917"/>
      <c r="CA460" s="917"/>
      <c r="CB460" s="64"/>
      <c r="CC460" s="919"/>
      <c r="CD460" s="919"/>
      <c r="CE460" s="64"/>
      <c r="CF460" s="528"/>
      <c r="CG460" s="529"/>
      <c r="CH460" s="64"/>
      <c r="CI460" s="64"/>
      <c r="CJ460" s="64"/>
      <c r="CK460" s="64"/>
      <c r="CL460" s="64"/>
      <c r="CM460" s="64"/>
      <c r="CN460" s="64"/>
      <c r="CO460" s="64"/>
      <c r="CP460" s="64"/>
      <c r="CQ460" s="64"/>
      <c r="CR460" s="64"/>
      <c r="CS460" s="64"/>
      <c r="CT460" s="64"/>
      <c r="CU460" s="64"/>
      <c r="CV460" s="64"/>
      <c r="CW460" s="64"/>
      <c r="CX460" s="64"/>
      <c r="CY460" s="1011"/>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c r="FC460" s="64"/>
      <c r="FD460" s="64"/>
      <c r="FE460" s="64"/>
      <c r="FF460" s="64"/>
      <c r="FG460" s="64"/>
      <c r="FH460" s="64"/>
      <c r="FI460" s="64"/>
      <c r="FJ460" s="64"/>
      <c r="FK460" s="64"/>
      <c r="FL460" s="64"/>
      <c r="FM460" s="64"/>
      <c r="FN460" s="64"/>
      <c r="FO460" s="64"/>
      <c r="FP460" s="64"/>
      <c r="FQ460" s="64"/>
      <c r="FR460" s="64"/>
      <c r="FS460" s="64"/>
      <c r="FT460" s="64"/>
      <c r="FU460" s="64"/>
      <c r="FV460" s="64"/>
      <c r="FW460" s="64"/>
      <c r="FX460" s="64"/>
      <c r="FY460" s="64"/>
      <c r="FZ460" s="64"/>
      <c r="GA460" s="64"/>
      <c r="GB460" s="64"/>
      <c r="GC460" s="64"/>
      <c r="GD460" s="64"/>
      <c r="GE460" s="64"/>
      <c r="GF460" s="64"/>
      <c r="GG460" s="64"/>
      <c r="GH460" s="64"/>
      <c r="GI460" s="64"/>
      <c r="GJ460" s="64"/>
      <c r="GK460" s="64"/>
      <c r="GL460" s="64"/>
      <c r="GM460" s="64"/>
      <c r="GN460" s="64"/>
      <c r="GO460" s="64"/>
      <c r="GP460" s="64"/>
      <c r="GQ460" s="64"/>
      <c r="GR460" s="64"/>
      <c r="GS460" s="64"/>
      <c r="GT460" s="64"/>
      <c r="GU460" s="64"/>
      <c r="GV460" s="64"/>
      <c r="GW460" s="64"/>
      <c r="GX460" s="64"/>
      <c r="GY460" s="64"/>
      <c r="GZ460" s="64"/>
      <c r="HA460" s="64"/>
      <c r="HB460" s="64"/>
      <c r="HC460" s="64"/>
      <c r="HD460" s="64"/>
      <c r="HE460" s="64"/>
      <c r="HF460" s="64"/>
      <c r="HG460" s="64"/>
      <c r="HH460" s="64"/>
      <c r="HI460" s="64"/>
      <c r="HJ460" s="64"/>
      <c r="HK460" s="64"/>
      <c r="HL460" s="64"/>
      <c r="HM460" s="64"/>
      <c r="HN460" s="64"/>
      <c r="HO460" s="64"/>
      <c r="HP460" s="64"/>
      <c r="HQ460" s="64"/>
      <c r="HR460" s="64"/>
      <c r="HS460" s="64"/>
      <c r="HT460" s="64"/>
      <c r="HU460" s="64"/>
      <c r="HV460" s="64"/>
      <c r="HW460" s="64"/>
      <c r="HX460" s="64"/>
      <c r="HY460" s="64"/>
      <c r="HZ460" s="64"/>
      <c r="IA460" s="64"/>
      <c r="IB460" s="64"/>
      <c r="IC460" s="64"/>
      <c r="ID460" s="64"/>
      <c r="IE460" s="64"/>
      <c r="IF460" s="64"/>
      <c r="IG460" s="64"/>
      <c r="IH460" s="64"/>
      <c r="II460" s="64"/>
      <c r="IJ460" s="64"/>
      <c r="IK460" s="64"/>
      <c r="IL460" s="64"/>
      <c r="IM460" s="64"/>
      <c r="IN460" s="64"/>
      <c r="IO460" s="64"/>
      <c r="IP460" s="64"/>
      <c r="IQ460" s="64"/>
      <c r="IR460" s="64"/>
      <c r="IS460" s="64"/>
      <c r="IT460" s="64"/>
      <c r="IU460" s="64"/>
      <c r="IV460" s="64"/>
      <c r="IW460" s="64"/>
      <c r="IX460" s="64"/>
      <c r="IY460" s="64"/>
      <c r="IZ460" s="64"/>
      <c r="JA460" s="64"/>
      <c r="JB460" s="64"/>
      <c r="JC460" s="64"/>
      <c r="JD460" s="64"/>
      <c r="JE460" s="64"/>
      <c r="JF460" s="64"/>
      <c r="JG460" s="64"/>
      <c r="JH460" s="64"/>
      <c r="JI460" s="64"/>
    </row>
    <row r="461" spans="1:269" s="920" customFormat="1" x14ac:dyDescent="0.2">
      <c r="A461" s="116"/>
      <c r="B461" s="64"/>
      <c r="C461" s="64"/>
      <c r="D461" s="64"/>
      <c r="E461" s="64"/>
      <c r="F461" s="64"/>
      <c r="G461" s="64"/>
      <c r="H461" s="64"/>
      <c r="I461" s="64"/>
      <c r="J461" s="116"/>
      <c r="K461" s="116"/>
      <c r="L461" s="116"/>
      <c r="M461" s="116"/>
      <c r="N461" s="116"/>
      <c r="O461" s="116"/>
      <c r="P461" s="116"/>
      <c r="Q461" s="102"/>
      <c r="R461" s="102"/>
      <c r="S461" s="102"/>
      <c r="T461" s="102"/>
      <c r="U461" s="913"/>
      <c r="V461" s="114"/>
      <c r="W461" s="805"/>
      <c r="X461" s="805"/>
      <c r="Y461" s="805"/>
      <c r="Z461" s="914"/>
      <c r="AA461" s="102"/>
      <c r="AB461" s="102"/>
      <c r="AC461" s="102"/>
      <c r="AD461" s="102"/>
      <c r="AE461" s="102"/>
      <c r="AF461" s="102"/>
      <c r="AG461" s="102"/>
      <c r="AH461" s="102"/>
      <c r="AI461" s="102"/>
      <c r="AJ461" s="906"/>
      <c r="AK461" s="102"/>
      <c r="AL461" s="915"/>
      <c r="AM461" s="915"/>
      <c r="AN461" s="114"/>
      <c r="AO461" s="64"/>
      <c r="AP461" s="64"/>
      <c r="AQ461" s="64"/>
      <c r="AR461" s="916"/>
      <c r="AS461" s="916"/>
      <c r="AT461" s="916"/>
      <c r="AU461" s="917"/>
      <c r="AV461" s="917"/>
      <c r="AW461" s="917"/>
      <c r="AX461" s="918"/>
      <c r="AY461" s="916"/>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917"/>
      <c r="CA461" s="917"/>
      <c r="CB461" s="64"/>
      <c r="CC461" s="919"/>
      <c r="CD461" s="919"/>
      <c r="CE461" s="64"/>
      <c r="CF461" s="528"/>
      <c r="CG461" s="529"/>
      <c r="CH461" s="64"/>
      <c r="CI461" s="64"/>
      <c r="CJ461" s="64"/>
      <c r="CK461" s="64"/>
      <c r="CL461" s="64"/>
      <c r="CM461" s="64"/>
      <c r="CN461" s="64"/>
      <c r="CO461" s="64"/>
      <c r="CP461" s="64"/>
      <c r="CQ461" s="64"/>
      <c r="CR461" s="64"/>
      <c r="CS461" s="64"/>
      <c r="CT461" s="64"/>
      <c r="CU461" s="64"/>
      <c r="CV461" s="64"/>
      <c r="CW461" s="64"/>
      <c r="CX461" s="64"/>
      <c r="CY461" s="1011"/>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c r="FC461" s="64"/>
      <c r="FD461" s="64"/>
      <c r="FE461" s="64"/>
      <c r="FF461" s="64"/>
      <c r="FG461" s="64"/>
      <c r="FH461" s="64"/>
      <c r="FI461" s="64"/>
      <c r="FJ461" s="64"/>
      <c r="FK461" s="64"/>
      <c r="FL461" s="64"/>
      <c r="FM461" s="64"/>
      <c r="FN461" s="64"/>
      <c r="FO461" s="64"/>
      <c r="FP461" s="64"/>
      <c r="FQ461" s="64"/>
      <c r="FR461" s="64"/>
      <c r="FS461" s="64"/>
      <c r="FT461" s="64"/>
      <c r="FU461" s="64"/>
      <c r="FV461" s="64"/>
      <c r="FW461" s="64"/>
      <c r="FX461" s="64"/>
      <c r="FY461" s="64"/>
      <c r="FZ461" s="64"/>
      <c r="GA461" s="64"/>
      <c r="GB461" s="64"/>
      <c r="GC461" s="64"/>
      <c r="GD461" s="64"/>
      <c r="GE461" s="64"/>
      <c r="GF461" s="64"/>
      <c r="GG461" s="64"/>
      <c r="GH461" s="64"/>
      <c r="GI461" s="64"/>
      <c r="GJ461" s="64"/>
      <c r="GK461" s="64"/>
      <c r="GL461" s="64"/>
      <c r="GM461" s="64"/>
      <c r="GN461" s="64"/>
      <c r="GO461" s="64"/>
      <c r="GP461" s="64"/>
      <c r="GQ461" s="64"/>
      <c r="GR461" s="64"/>
      <c r="GS461" s="64"/>
      <c r="GT461" s="64"/>
      <c r="GU461" s="64"/>
      <c r="GV461" s="64"/>
      <c r="GW461" s="64"/>
      <c r="GX461" s="64"/>
      <c r="GY461" s="64"/>
      <c r="GZ461" s="64"/>
      <c r="HA461" s="64"/>
      <c r="HB461" s="64"/>
      <c r="HC461" s="64"/>
      <c r="HD461" s="64"/>
      <c r="HE461" s="64"/>
      <c r="HF461" s="64"/>
      <c r="HG461" s="64"/>
      <c r="HH461" s="64"/>
      <c r="HI461" s="64"/>
      <c r="HJ461" s="64"/>
      <c r="HK461" s="64"/>
      <c r="HL461" s="64"/>
      <c r="HM461" s="64"/>
      <c r="HN461" s="64"/>
      <c r="HO461" s="64"/>
      <c r="HP461" s="64"/>
      <c r="HQ461" s="64"/>
      <c r="HR461" s="64"/>
      <c r="HS461" s="64"/>
      <c r="HT461" s="64"/>
      <c r="HU461" s="64"/>
      <c r="HV461" s="64"/>
      <c r="HW461" s="64"/>
      <c r="HX461" s="64"/>
      <c r="HY461" s="64"/>
      <c r="HZ461" s="64"/>
      <c r="IA461" s="64"/>
      <c r="IB461" s="64"/>
      <c r="IC461" s="64"/>
      <c r="ID461" s="64"/>
      <c r="IE461" s="64"/>
      <c r="IF461" s="64"/>
      <c r="IG461" s="64"/>
      <c r="IH461" s="64"/>
      <c r="II461" s="64"/>
      <c r="IJ461" s="64"/>
      <c r="IK461" s="64"/>
      <c r="IL461" s="64"/>
      <c r="IM461" s="64"/>
      <c r="IN461" s="64"/>
      <c r="IO461" s="64"/>
      <c r="IP461" s="64"/>
      <c r="IQ461" s="64"/>
      <c r="IR461" s="64"/>
      <c r="IS461" s="64"/>
      <c r="IT461" s="64"/>
      <c r="IU461" s="64"/>
      <c r="IV461" s="64"/>
      <c r="IW461" s="64"/>
      <c r="IX461" s="64"/>
      <c r="IY461" s="64"/>
      <c r="IZ461" s="64"/>
      <c r="JA461" s="64"/>
      <c r="JB461" s="64"/>
      <c r="JC461" s="64"/>
      <c r="JD461" s="64"/>
      <c r="JE461" s="64"/>
      <c r="JF461" s="64"/>
      <c r="JG461" s="64"/>
      <c r="JH461" s="64"/>
      <c r="JI461" s="64"/>
    </row>
    <row r="462" spans="1:269" s="920" customFormat="1" x14ac:dyDescent="0.2">
      <c r="A462" s="116"/>
      <c r="B462" s="64"/>
      <c r="C462" s="64"/>
      <c r="D462" s="64"/>
      <c r="E462" s="64"/>
      <c r="F462" s="64"/>
      <c r="G462" s="64"/>
      <c r="H462" s="64"/>
      <c r="I462" s="64"/>
      <c r="J462" s="116"/>
      <c r="K462" s="116"/>
      <c r="L462" s="116"/>
      <c r="M462" s="116"/>
      <c r="N462" s="116"/>
      <c r="O462" s="116"/>
      <c r="P462" s="116"/>
      <c r="Q462" s="102"/>
      <c r="R462" s="102"/>
      <c r="S462" s="102"/>
      <c r="T462" s="102"/>
      <c r="U462" s="913"/>
      <c r="V462" s="114"/>
      <c r="W462" s="805"/>
      <c r="X462" s="805"/>
      <c r="Y462" s="805"/>
      <c r="Z462" s="914"/>
      <c r="AA462" s="102"/>
      <c r="AB462" s="102"/>
      <c r="AC462" s="102"/>
      <c r="AD462" s="102"/>
      <c r="AE462" s="102"/>
      <c r="AF462" s="102"/>
      <c r="AG462" s="102"/>
      <c r="AH462" s="102"/>
      <c r="AI462" s="102"/>
      <c r="AJ462" s="906"/>
      <c r="AK462" s="102"/>
      <c r="AL462" s="915"/>
      <c r="AM462" s="915"/>
      <c r="AN462" s="114"/>
      <c r="AO462" s="64"/>
      <c r="AP462" s="64"/>
      <c r="AQ462" s="64"/>
      <c r="AR462" s="916"/>
      <c r="AS462" s="916"/>
      <c r="AT462" s="916"/>
      <c r="AU462" s="917"/>
      <c r="AV462" s="917"/>
      <c r="AW462" s="917"/>
      <c r="AX462" s="918"/>
      <c r="AY462" s="916"/>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917"/>
      <c r="CA462" s="917"/>
      <c r="CB462" s="64"/>
      <c r="CC462" s="919"/>
      <c r="CD462" s="919"/>
      <c r="CE462" s="64"/>
      <c r="CF462" s="528"/>
      <c r="CG462" s="529"/>
      <c r="CH462" s="64"/>
      <c r="CI462" s="64"/>
      <c r="CJ462" s="64"/>
      <c r="CK462" s="64"/>
      <c r="CL462" s="64"/>
      <c r="CM462" s="64"/>
      <c r="CN462" s="64"/>
      <c r="CO462" s="64"/>
      <c r="CP462" s="64"/>
      <c r="CQ462" s="64"/>
      <c r="CR462" s="64"/>
      <c r="CS462" s="64"/>
      <c r="CT462" s="64"/>
      <c r="CU462" s="64"/>
      <c r="CV462" s="64"/>
      <c r="CW462" s="64"/>
      <c r="CX462" s="64"/>
      <c r="CY462" s="1011"/>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c r="FC462" s="64"/>
      <c r="FD462" s="64"/>
      <c r="FE462" s="64"/>
      <c r="FF462" s="64"/>
      <c r="FG462" s="64"/>
      <c r="FH462" s="64"/>
      <c r="FI462" s="64"/>
      <c r="FJ462" s="64"/>
      <c r="FK462" s="64"/>
      <c r="FL462" s="64"/>
      <c r="FM462" s="64"/>
      <c r="FN462" s="64"/>
      <c r="FO462" s="64"/>
      <c r="FP462" s="64"/>
      <c r="FQ462" s="64"/>
      <c r="FR462" s="64"/>
      <c r="FS462" s="64"/>
      <c r="FT462" s="64"/>
      <c r="FU462" s="64"/>
      <c r="FV462" s="64"/>
      <c r="FW462" s="64"/>
      <c r="FX462" s="64"/>
      <c r="FY462" s="64"/>
      <c r="FZ462" s="64"/>
      <c r="GA462" s="64"/>
      <c r="GB462" s="64"/>
      <c r="GC462" s="64"/>
      <c r="GD462" s="64"/>
      <c r="GE462" s="64"/>
      <c r="GF462" s="64"/>
      <c r="GG462" s="64"/>
      <c r="GH462" s="64"/>
      <c r="GI462" s="64"/>
      <c r="GJ462" s="64"/>
      <c r="GK462" s="64"/>
      <c r="GL462" s="64"/>
      <c r="GM462" s="64"/>
      <c r="GN462" s="64"/>
      <c r="GO462" s="64"/>
      <c r="GP462" s="64"/>
      <c r="GQ462" s="64"/>
      <c r="GR462" s="64"/>
      <c r="GS462" s="64"/>
      <c r="GT462" s="64"/>
      <c r="GU462" s="64"/>
      <c r="GV462" s="64"/>
      <c r="GW462" s="64"/>
      <c r="GX462" s="64"/>
      <c r="GY462" s="64"/>
      <c r="GZ462" s="64"/>
      <c r="HA462" s="64"/>
      <c r="HB462" s="64"/>
      <c r="HC462" s="64"/>
      <c r="HD462" s="64"/>
      <c r="HE462" s="64"/>
      <c r="HF462" s="64"/>
      <c r="HG462" s="64"/>
      <c r="HH462" s="64"/>
      <c r="HI462" s="64"/>
      <c r="HJ462" s="64"/>
      <c r="HK462" s="64"/>
      <c r="HL462" s="64"/>
      <c r="HM462" s="64"/>
      <c r="HN462" s="64"/>
      <c r="HO462" s="64"/>
      <c r="HP462" s="64"/>
      <c r="HQ462" s="64"/>
      <c r="HR462" s="64"/>
      <c r="HS462" s="64"/>
      <c r="HT462" s="64"/>
      <c r="HU462" s="64"/>
      <c r="HV462" s="64"/>
      <c r="HW462" s="64"/>
      <c r="HX462" s="64"/>
      <c r="HY462" s="64"/>
      <c r="HZ462" s="64"/>
      <c r="IA462" s="64"/>
      <c r="IB462" s="64"/>
      <c r="IC462" s="64"/>
      <c r="ID462" s="64"/>
      <c r="IE462" s="64"/>
      <c r="IF462" s="64"/>
      <c r="IG462" s="64"/>
      <c r="IH462" s="64"/>
      <c r="II462" s="64"/>
      <c r="IJ462" s="64"/>
      <c r="IK462" s="64"/>
      <c r="IL462" s="64"/>
      <c r="IM462" s="64"/>
      <c r="IN462" s="64"/>
      <c r="IO462" s="64"/>
      <c r="IP462" s="64"/>
      <c r="IQ462" s="64"/>
      <c r="IR462" s="64"/>
      <c r="IS462" s="64"/>
      <c r="IT462" s="64"/>
      <c r="IU462" s="64"/>
      <c r="IV462" s="64"/>
      <c r="IW462" s="64"/>
      <c r="IX462" s="64"/>
      <c r="IY462" s="64"/>
      <c r="IZ462" s="64"/>
      <c r="JA462" s="64"/>
      <c r="JB462" s="64"/>
      <c r="JC462" s="64"/>
      <c r="JD462" s="64"/>
      <c r="JE462" s="64"/>
      <c r="JF462" s="64"/>
      <c r="JG462" s="64"/>
      <c r="JH462" s="64"/>
      <c r="JI462" s="64"/>
    </row>
    <row r="463" spans="1:269" s="920" customFormat="1" x14ac:dyDescent="0.2">
      <c r="A463" s="116"/>
      <c r="B463" s="64"/>
      <c r="C463" s="64"/>
      <c r="D463" s="64"/>
      <c r="E463" s="64"/>
      <c r="F463" s="64"/>
      <c r="G463" s="64"/>
      <c r="H463" s="64"/>
      <c r="I463" s="64"/>
      <c r="J463" s="116"/>
      <c r="K463" s="116"/>
      <c r="L463" s="116"/>
      <c r="M463" s="116"/>
      <c r="N463" s="116"/>
      <c r="O463" s="116"/>
      <c r="P463" s="116"/>
      <c r="Q463" s="102"/>
      <c r="R463" s="102"/>
      <c r="S463" s="102"/>
      <c r="T463" s="102"/>
      <c r="U463" s="913"/>
      <c r="V463" s="114"/>
      <c r="W463" s="805"/>
      <c r="X463" s="805"/>
      <c r="Y463" s="805"/>
      <c r="Z463" s="914"/>
      <c r="AA463" s="102"/>
      <c r="AB463" s="102"/>
      <c r="AC463" s="102"/>
      <c r="AD463" s="102"/>
      <c r="AE463" s="102"/>
      <c r="AF463" s="102"/>
      <c r="AG463" s="102"/>
      <c r="AH463" s="102"/>
      <c r="AI463" s="102"/>
      <c r="AJ463" s="906"/>
      <c r="AK463" s="102"/>
      <c r="AL463" s="915"/>
      <c r="AM463" s="915"/>
      <c r="AN463" s="114"/>
      <c r="AO463" s="64"/>
      <c r="AP463" s="64"/>
      <c r="AQ463" s="64"/>
      <c r="AR463" s="916"/>
      <c r="AS463" s="916"/>
      <c r="AT463" s="916"/>
      <c r="AU463" s="917"/>
      <c r="AV463" s="917"/>
      <c r="AW463" s="917"/>
      <c r="AX463" s="918"/>
      <c r="AY463" s="916"/>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917"/>
      <c r="CA463" s="917"/>
      <c r="CB463" s="64"/>
      <c r="CC463" s="919"/>
      <c r="CD463" s="919"/>
      <c r="CE463" s="64"/>
      <c r="CF463" s="528"/>
      <c r="CG463" s="529"/>
      <c r="CH463" s="64"/>
      <c r="CI463" s="64"/>
      <c r="CJ463" s="64"/>
      <c r="CK463" s="64"/>
      <c r="CL463" s="64"/>
      <c r="CM463" s="64"/>
      <c r="CN463" s="64"/>
      <c r="CO463" s="64"/>
      <c r="CP463" s="64"/>
      <c r="CQ463" s="64"/>
      <c r="CR463" s="64"/>
      <c r="CS463" s="64"/>
      <c r="CT463" s="64"/>
      <c r="CU463" s="64"/>
      <c r="CV463" s="64"/>
      <c r="CW463" s="64"/>
      <c r="CX463" s="64"/>
      <c r="CY463" s="1011"/>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c r="FC463" s="64"/>
      <c r="FD463" s="64"/>
      <c r="FE463" s="64"/>
      <c r="FF463" s="64"/>
      <c r="FG463" s="64"/>
      <c r="FH463" s="64"/>
      <c r="FI463" s="64"/>
      <c r="FJ463" s="64"/>
      <c r="FK463" s="64"/>
      <c r="FL463" s="64"/>
      <c r="FM463" s="64"/>
      <c r="FN463" s="64"/>
      <c r="FO463" s="64"/>
      <c r="FP463" s="64"/>
      <c r="FQ463" s="64"/>
      <c r="FR463" s="64"/>
      <c r="FS463" s="64"/>
      <c r="FT463" s="64"/>
      <c r="FU463" s="64"/>
      <c r="FV463" s="64"/>
      <c r="FW463" s="64"/>
      <c r="FX463" s="64"/>
      <c r="FY463" s="64"/>
      <c r="FZ463" s="64"/>
      <c r="GA463" s="64"/>
      <c r="GB463" s="64"/>
      <c r="GC463" s="64"/>
      <c r="GD463" s="64"/>
      <c r="GE463" s="64"/>
      <c r="GF463" s="64"/>
      <c r="GG463" s="64"/>
      <c r="GH463" s="64"/>
      <c r="GI463" s="64"/>
      <c r="GJ463" s="64"/>
      <c r="GK463" s="64"/>
      <c r="GL463" s="64"/>
      <c r="GM463" s="64"/>
      <c r="GN463" s="64"/>
      <c r="GO463" s="64"/>
      <c r="GP463" s="64"/>
      <c r="GQ463" s="64"/>
      <c r="GR463" s="64"/>
      <c r="GS463" s="64"/>
      <c r="GT463" s="64"/>
      <c r="GU463" s="64"/>
      <c r="GV463" s="64"/>
      <c r="GW463" s="64"/>
      <c r="GX463" s="64"/>
      <c r="GY463" s="64"/>
      <c r="GZ463" s="64"/>
      <c r="HA463" s="64"/>
      <c r="HB463" s="64"/>
      <c r="HC463" s="64"/>
      <c r="HD463" s="64"/>
      <c r="HE463" s="64"/>
      <c r="HF463" s="64"/>
      <c r="HG463" s="64"/>
      <c r="HH463" s="64"/>
      <c r="HI463" s="64"/>
      <c r="HJ463" s="64"/>
      <c r="HK463" s="64"/>
      <c r="HL463" s="64"/>
      <c r="HM463" s="64"/>
      <c r="HN463" s="64"/>
      <c r="HO463" s="64"/>
      <c r="HP463" s="64"/>
      <c r="HQ463" s="64"/>
      <c r="HR463" s="64"/>
      <c r="HS463" s="64"/>
      <c r="HT463" s="64"/>
      <c r="HU463" s="64"/>
      <c r="HV463" s="64"/>
      <c r="HW463" s="64"/>
      <c r="HX463" s="64"/>
      <c r="HY463" s="64"/>
      <c r="HZ463" s="64"/>
      <c r="IA463" s="64"/>
      <c r="IB463" s="64"/>
      <c r="IC463" s="64"/>
      <c r="ID463" s="64"/>
      <c r="IE463" s="64"/>
      <c r="IF463" s="64"/>
      <c r="IG463" s="64"/>
      <c r="IH463" s="64"/>
      <c r="II463" s="64"/>
      <c r="IJ463" s="64"/>
      <c r="IK463" s="64"/>
      <c r="IL463" s="64"/>
      <c r="IM463" s="64"/>
      <c r="IN463" s="64"/>
      <c r="IO463" s="64"/>
      <c r="IP463" s="64"/>
      <c r="IQ463" s="64"/>
      <c r="IR463" s="64"/>
      <c r="IS463" s="64"/>
      <c r="IT463" s="64"/>
      <c r="IU463" s="64"/>
      <c r="IV463" s="64"/>
      <c r="IW463" s="64"/>
      <c r="IX463" s="64"/>
      <c r="IY463" s="64"/>
      <c r="IZ463" s="64"/>
      <c r="JA463" s="64"/>
      <c r="JB463" s="64"/>
      <c r="JC463" s="64"/>
      <c r="JD463" s="64"/>
      <c r="JE463" s="64"/>
      <c r="JF463" s="64"/>
      <c r="JG463" s="64"/>
      <c r="JH463" s="64"/>
      <c r="JI463" s="64"/>
    </row>
    <row r="464" spans="1:269" s="920" customFormat="1" x14ac:dyDescent="0.2">
      <c r="A464" s="116"/>
      <c r="B464" s="64"/>
      <c r="C464" s="64"/>
      <c r="D464" s="64"/>
      <c r="E464" s="64"/>
      <c r="F464" s="64"/>
      <c r="G464" s="64"/>
      <c r="H464" s="64"/>
      <c r="I464" s="64"/>
      <c r="J464" s="116"/>
      <c r="K464" s="116"/>
      <c r="L464" s="116"/>
      <c r="M464" s="116"/>
      <c r="N464" s="116"/>
      <c r="O464" s="116"/>
      <c r="P464" s="116"/>
      <c r="Q464" s="102"/>
      <c r="R464" s="102"/>
      <c r="S464" s="102"/>
      <c r="T464" s="102"/>
      <c r="U464" s="913"/>
      <c r="V464" s="114"/>
      <c r="W464" s="805"/>
      <c r="X464" s="805"/>
      <c r="Y464" s="805"/>
      <c r="Z464" s="914"/>
      <c r="AA464" s="102"/>
      <c r="AB464" s="102"/>
      <c r="AC464" s="102"/>
      <c r="AD464" s="102"/>
      <c r="AE464" s="102"/>
      <c r="AF464" s="102"/>
      <c r="AG464" s="102"/>
      <c r="AH464" s="102"/>
      <c r="AI464" s="102"/>
      <c r="AJ464" s="906"/>
      <c r="AK464" s="102"/>
      <c r="AL464" s="915"/>
      <c r="AM464" s="915"/>
      <c r="AN464" s="114"/>
      <c r="AO464" s="64"/>
      <c r="AP464" s="64"/>
      <c r="AQ464" s="64"/>
      <c r="AR464" s="916"/>
      <c r="AS464" s="916"/>
      <c r="AT464" s="916"/>
      <c r="AU464" s="917"/>
      <c r="AV464" s="917"/>
      <c r="AW464" s="917"/>
      <c r="AX464" s="918"/>
      <c r="AY464" s="916"/>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917"/>
      <c r="CA464" s="917"/>
      <c r="CB464" s="64"/>
      <c r="CC464" s="919"/>
      <c r="CD464" s="919"/>
      <c r="CE464" s="64"/>
      <c r="CF464" s="528"/>
      <c r="CG464" s="529"/>
      <c r="CH464" s="64"/>
      <c r="CI464" s="64"/>
      <c r="CJ464" s="64"/>
      <c r="CK464" s="64"/>
      <c r="CL464" s="64"/>
      <c r="CM464" s="64"/>
      <c r="CN464" s="64"/>
      <c r="CO464" s="64"/>
      <c r="CP464" s="64"/>
      <c r="CQ464" s="64"/>
      <c r="CR464" s="64"/>
      <c r="CS464" s="64"/>
      <c r="CT464" s="64"/>
      <c r="CU464" s="64"/>
      <c r="CV464" s="64"/>
      <c r="CW464" s="64"/>
      <c r="CX464" s="64"/>
      <c r="CY464" s="1011"/>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c r="FC464" s="64"/>
      <c r="FD464" s="64"/>
      <c r="FE464" s="64"/>
      <c r="FF464" s="64"/>
      <c r="FG464" s="64"/>
      <c r="FH464" s="64"/>
      <c r="FI464" s="64"/>
      <c r="FJ464" s="64"/>
      <c r="FK464" s="64"/>
      <c r="FL464" s="64"/>
      <c r="FM464" s="64"/>
      <c r="FN464" s="64"/>
      <c r="FO464" s="64"/>
      <c r="FP464" s="64"/>
      <c r="FQ464" s="64"/>
      <c r="FR464" s="64"/>
      <c r="FS464" s="64"/>
      <c r="FT464" s="64"/>
      <c r="FU464" s="64"/>
      <c r="FV464" s="64"/>
      <c r="FW464" s="64"/>
      <c r="FX464" s="64"/>
      <c r="FY464" s="64"/>
      <c r="FZ464" s="64"/>
      <c r="GA464" s="64"/>
      <c r="GB464" s="64"/>
      <c r="GC464" s="64"/>
      <c r="GD464" s="64"/>
      <c r="GE464" s="64"/>
      <c r="GF464" s="64"/>
      <c r="GG464" s="64"/>
      <c r="GH464" s="64"/>
      <c r="GI464" s="64"/>
      <c r="GJ464" s="64"/>
      <c r="GK464" s="64"/>
      <c r="GL464" s="64"/>
      <c r="GM464" s="64"/>
      <c r="GN464" s="64"/>
      <c r="GO464" s="64"/>
      <c r="GP464" s="64"/>
      <c r="GQ464" s="64"/>
      <c r="GR464" s="64"/>
      <c r="GS464" s="64"/>
      <c r="GT464" s="64"/>
      <c r="GU464" s="64"/>
      <c r="GV464" s="64"/>
      <c r="GW464" s="64"/>
      <c r="GX464" s="64"/>
      <c r="GY464" s="64"/>
      <c r="GZ464" s="64"/>
      <c r="HA464" s="64"/>
      <c r="HB464" s="64"/>
      <c r="HC464" s="64"/>
      <c r="HD464" s="64"/>
      <c r="HE464" s="64"/>
      <c r="HF464" s="64"/>
      <c r="HG464" s="64"/>
      <c r="HH464" s="64"/>
      <c r="HI464" s="64"/>
      <c r="HJ464" s="64"/>
      <c r="HK464" s="64"/>
      <c r="HL464" s="64"/>
      <c r="HM464" s="64"/>
      <c r="HN464" s="64"/>
      <c r="HO464" s="64"/>
      <c r="HP464" s="64"/>
      <c r="HQ464" s="64"/>
      <c r="HR464" s="64"/>
      <c r="HS464" s="64"/>
      <c r="HT464" s="64"/>
      <c r="HU464" s="64"/>
      <c r="HV464" s="64"/>
      <c r="HW464" s="64"/>
      <c r="HX464" s="64"/>
      <c r="HY464" s="64"/>
      <c r="HZ464" s="64"/>
      <c r="IA464" s="64"/>
      <c r="IB464" s="64"/>
      <c r="IC464" s="64"/>
      <c r="ID464" s="64"/>
      <c r="IE464" s="64"/>
      <c r="IF464" s="64"/>
      <c r="IG464" s="64"/>
      <c r="IH464" s="64"/>
      <c r="II464" s="64"/>
      <c r="IJ464" s="64"/>
      <c r="IK464" s="64"/>
      <c r="IL464" s="64"/>
      <c r="IM464" s="64"/>
      <c r="IN464" s="64"/>
      <c r="IO464" s="64"/>
      <c r="IP464" s="64"/>
      <c r="IQ464" s="64"/>
      <c r="IR464" s="64"/>
      <c r="IS464" s="64"/>
      <c r="IT464" s="64"/>
      <c r="IU464" s="64"/>
      <c r="IV464" s="64"/>
      <c r="IW464" s="64"/>
      <c r="IX464" s="64"/>
      <c r="IY464" s="64"/>
      <c r="IZ464" s="64"/>
      <c r="JA464" s="64"/>
      <c r="JB464" s="64"/>
      <c r="JC464" s="64"/>
      <c r="JD464" s="64"/>
      <c r="JE464" s="64"/>
      <c r="JF464" s="64"/>
      <c r="JG464" s="64"/>
      <c r="JH464" s="64"/>
      <c r="JI464" s="64"/>
    </row>
    <row r="465" spans="1:269" s="920" customFormat="1" x14ac:dyDescent="0.2">
      <c r="A465" s="116"/>
      <c r="B465" s="64"/>
      <c r="C465" s="64"/>
      <c r="D465" s="64"/>
      <c r="E465" s="64"/>
      <c r="F465" s="64"/>
      <c r="G465" s="64"/>
      <c r="H465" s="64"/>
      <c r="I465" s="64"/>
      <c r="J465" s="116"/>
      <c r="K465" s="116"/>
      <c r="L465" s="116"/>
      <c r="M465" s="116"/>
      <c r="N465" s="116"/>
      <c r="O465" s="116"/>
      <c r="P465" s="116"/>
      <c r="Q465" s="102"/>
      <c r="R465" s="102"/>
      <c r="S465" s="102"/>
      <c r="T465" s="102"/>
      <c r="U465" s="913"/>
      <c r="V465" s="114"/>
      <c r="W465" s="805"/>
      <c r="X465" s="805"/>
      <c r="Y465" s="805"/>
      <c r="Z465" s="914"/>
      <c r="AA465" s="102"/>
      <c r="AB465" s="102"/>
      <c r="AC465" s="102"/>
      <c r="AD465" s="102"/>
      <c r="AE465" s="102"/>
      <c r="AF465" s="102"/>
      <c r="AG465" s="102"/>
      <c r="AH465" s="102"/>
      <c r="AI465" s="102"/>
      <c r="AJ465" s="906"/>
      <c r="AK465" s="102"/>
      <c r="AL465" s="915"/>
      <c r="AM465" s="915"/>
      <c r="AN465" s="114"/>
      <c r="AO465" s="64"/>
      <c r="AP465" s="64"/>
      <c r="AQ465" s="64"/>
      <c r="AR465" s="916"/>
      <c r="AS465" s="916"/>
      <c r="AT465" s="916"/>
      <c r="AU465" s="917"/>
      <c r="AV465" s="917"/>
      <c r="AW465" s="917"/>
      <c r="AX465" s="918"/>
      <c r="AY465" s="916"/>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917"/>
      <c r="CA465" s="917"/>
      <c r="CB465" s="64"/>
      <c r="CC465" s="919"/>
      <c r="CD465" s="919"/>
      <c r="CE465" s="64"/>
      <c r="CF465" s="528"/>
      <c r="CG465" s="529"/>
      <c r="CH465" s="64"/>
      <c r="CI465" s="64"/>
      <c r="CJ465" s="64"/>
      <c r="CK465" s="64"/>
      <c r="CL465" s="64"/>
      <c r="CM465" s="64"/>
      <c r="CN465" s="64"/>
      <c r="CO465" s="64"/>
      <c r="CP465" s="64"/>
      <c r="CQ465" s="64"/>
      <c r="CR465" s="64"/>
      <c r="CS465" s="64"/>
      <c r="CT465" s="64"/>
      <c r="CU465" s="64"/>
      <c r="CV465" s="64"/>
      <c r="CW465" s="64"/>
      <c r="CX465" s="64"/>
      <c r="CY465" s="1011"/>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c r="FC465" s="64"/>
      <c r="FD465" s="64"/>
      <c r="FE465" s="64"/>
      <c r="FF465" s="64"/>
      <c r="FG465" s="64"/>
      <c r="FH465" s="64"/>
      <c r="FI465" s="64"/>
      <c r="FJ465" s="64"/>
      <c r="FK465" s="64"/>
      <c r="FL465" s="64"/>
      <c r="FM465" s="64"/>
      <c r="FN465" s="64"/>
      <c r="FO465" s="64"/>
      <c r="FP465" s="64"/>
      <c r="FQ465" s="64"/>
      <c r="FR465" s="64"/>
      <c r="FS465" s="64"/>
      <c r="FT465" s="64"/>
      <c r="FU465" s="64"/>
      <c r="FV465" s="64"/>
      <c r="FW465" s="64"/>
      <c r="FX465" s="64"/>
      <c r="FY465" s="64"/>
      <c r="FZ465" s="64"/>
      <c r="GA465" s="64"/>
      <c r="GB465" s="64"/>
      <c r="GC465" s="64"/>
      <c r="GD465" s="64"/>
      <c r="GE465" s="64"/>
      <c r="GF465" s="64"/>
      <c r="GG465" s="64"/>
      <c r="GH465" s="64"/>
      <c r="GI465" s="64"/>
      <c r="GJ465" s="64"/>
      <c r="GK465" s="64"/>
      <c r="GL465" s="64"/>
      <c r="GM465" s="64"/>
      <c r="GN465" s="64"/>
      <c r="GO465" s="64"/>
      <c r="GP465" s="64"/>
      <c r="GQ465" s="64"/>
      <c r="GR465" s="64"/>
      <c r="GS465" s="64"/>
      <c r="GT465" s="64"/>
      <c r="GU465" s="64"/>
      <c r="GV465" s="64"/>
      <c r="GW465" s="64"/>
      <c r="GX465" s="64"/>
      <c r="GY465" s="64"/>
      <c r="GZ465" s="64"/>
      <c r="HA465" s="64"/>
      <c r="HB465" s="64"/>
      <c r="HC465" s="64"/>
      <c r="HD465" s="64"/>
      <c r="HE465" s="64"/>
      <c r="HF465" s="64"/>
      <c r="HG465" s="64"/>
      <c r="HH465" s="64"/>
      <c r="HI465" s="64"/>
      <c r="HJ465" s="64"/>
      <c r="HK465" s="64"/>
      <c r="HL465" s="64"/>
      <c r="HM465" s="64"/>
      <c r="HN465" s="64"/>
      <c r="HO465" s="64"/>
      <c r="HP465" s="64"/>
      <c r="HQ465" s="64"/>
      <c r="HR465" s="64"/>
      <c r="HS465" s="64"/>
      <c r="HT465" s="64"/>
      <c r="HU465" s="64"/>
      <c r="HV465" s="64"/>
      <c r="HW465" s="64"/>
      <c r="HX465" s="64"/>
      <c r="HY465" s="64"/>
      <c r="HZ465" s="64"/>
      <c r="IA465" s="64"/>
      <c r="IB465" s="64"/>
      <c r="IC465" s="64"/>
      <c r="ID465" s="64"/>
      <c r="IE465" s="64"/>
      <c r="IF465" s="64"/>
      <c r="IG465" s="64"/>
      <c r="IH465" s="64"/>
      <c r="II465" s="64"/>
      <c r="IJ465" s="64"/>
      <c r="IK465" s="64"/>
      <c r="IL465" s="64"/>
      <c r="IM465" s="64"/>
      <c r="IN465" s="64"/>
      <c r="IO465" s="64"/>
      <c r="IP465" s="64"/>
      <c r="IQ465" s="64"/>
      <c r="IR465" s="64"/>
      <c r="IS465" s="64"/>
      <c r="IT465" s="64"/>
      <c r="IU465" s="64"/>
      <c r="IV465" s="64"/>
      <c r="IW465" s="64"/>
      <c r="IX465" s="64"/>
      <c r="IY465" s="64"/>
      <c r="IZ465" s="64"/>
      <c r="JA465" s="64"/>
      <c r="JB465" s="64"/>
      <c r="JC465" s="64"/>
      <c r="JD465" s="64"/>
      <c r="JE465" s="64"/>
      <c r="JF465" s="64"/>
      <c r="JG465" s="64"/>
      <c r="JH465" s="64"/>
      <c r="JI465" s="64"/>
    </row>
    <row r="466" spans="1:269" s="920" customFormat="1" x14ac:dyDescent="0.2">
      <c r="A466" s="116"/>
      <c r="B466" s="64"/>
      <c r="C466" s="64"/>
      <c r="D466" s="64"/>
      <c r="E466" s="64"/>
      <c r="F466" s="64"/>
      <c r="G466" s="64"/>
      <c r="H466" s="64"/>
      <c r="I466" s="64"/>
      <c r="J466" s="116"/>
      <c r="K466" s="116"/>
      <c r="L466" s="116"/>
      <c r="M466" s="116"/>
      <c r="N466" s="116"/>
      <c r="O466" s="116"/>
      <c r="P466" s="116"/>
      <c r="Q466" s="102"/>
      <c r="R466" s="102"/>
      <c r="S466" s="102"/>
      <c r="T466" s="102"/>
      <c r="U466" s="913"/>
      <c r="V466" s="114"/>
      <c r="W466" s="805"/>
      <c r="X466" s="805"/>
      <c r="Y466" s="805"/>
      <c r="Z466" s="914"/>
      <c r="AA466" s="102"/>
      <c r="AB466" s="102"/>
      <c r="AC466" s="102"/>
      <c r="AD466" s="102"/>
      <c r="AE466" s="102"/>
      <c r="AF466" s="102"/>
      <c r="AG466" s="102"/>
      <c r="AH466" s="102"/>
      <c r="AI466" s="102"/>
      <c r="AJ466" s="906"/>
      <c r="AK466" s="102"/>
      <c r="AL466" s="915"/>
      <c r="AM466" s="915"/>
      <c r="AN466" s="114"/>
      <c r="AO466" s="64"/>
      <c r="AP466" s="64"/>
      <c r="AQ466" s="64"/>
      <c r="AR466" s="916"/>
      <c r="AS466" s="916"/>
      <c r="AT466" s="916"/>
      <c r="AU466" s="917"/>
      <c r="AV466" s="917"/>
      <c r="AW466" s="917"/>
      <c r="AX466" s="918"/>
      <c r="AY466" s="916"/>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917"/>
      <c r="CA466" s="917"/>
      <c r="CB466" s="64"/>
      <c r="CC466" s="919"/>
      <c r="CD466" s="919"/>
      <c r="CE466" s="64"/>
      <c r="CF466" s="528"/>
      <c r="CG466" s="529"/>
      <c r="CH466" s="64"/>
      <c r="CI466" s="64"/>
      <c r="CJ466" s="64"/>
      <c r="CK466" s="64"/>
      <c r="CL466" s="64"/>
      <c r="CM466" s="64"/>
      <c r="CN466" s="64"/>
      <c r="CO466" s="64"/>
      <c r="CP466" s="64"/>
      <c r="CQ466" s="64"/>
      <c r="CR466" s="64"/>
      <c r="CS466" s="64"/>
      <c r="CT466" s="64"/>
      <c r="CU466" s="64"/>
      <c r="CV466" s="64"/>
      <c r="CW466" s="64"/>
      <c r="CX466" s="64"/>
      <c r="CY466" s="1011"/>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c r="FC466" s="64"/>
      <c r="FD466" s="64"/>
      <c r="FE466" s="64"/>
      <c r="FF466" s="64"/>
      <c r="FG466" s="64"/>
      <c r="FH466" s="64"/>
      <c r="FI466" s="64"/>
      <c r="FJ466" s="64"/>
      <c r="FK466" s="64"/>
      <c r="FL466" s="64"/>
      <c r="FM466" s="64"/>
      <c r="FN466" s="64"/>
      <c r="FO466" s="64"/>
      <c r="FP466" s="64"/>
      <c r="FQ466" s="64"/>
      <c r="FR466" s="64"/>
      <c r="FS466" s="64"/>
      <c r="FT466" s="64"/>
      <c r="FU466" s="64"/>
      <c r="FV466" s="64"/>
      <c r="FW466" s="64"/>
      <c r="FX466" s="64"/>
      <c r="FY466" s="64"/>
      <c r="FZ466" s="64"/>
      <c r="GA466" s="64"/>
      <c r="GB466" s="64"/>
      <c r="GC466" s="64"/>
      <c r="GD466" s="64"/>
      <c r="GE466" s="64"/>
      <c r="GF466" s="64"/>
      <c r="GG466" s="64"/>
      <c r="GH466" s="64"/>
      <c r="GI466" s="64"/>
      <c r="GJ466" s="64"/>
      <c r="GK466" s="64"/>
      <c r="GL466" s="64"/>
      <c r="GM466" s="64"/>
      <c r="GN466" s="64"/>
      <c r="GO466" s="64"/>
      <c r="GP466" s="64"/>
      <c r="GQ466" s="64"/>
      <c r="GR466" s="64"/>
      <c r="GS466" s="64"/>
      <c r="GT466" s="64"/>
      <c r="GU466" s="64"/>
      <c r="GV466" s="64"/>
      <c r="GW466" s="64"/>
      <c r="GX466" s="64"/>
      <c r="GY466" s="64"/>
      <c r="GZ466" s="64"/>
      <c r="HA466" s="64"/>
      <c r="HB466" s="64"/>
      <c r="HC466" s="64"/>
      <c r="HD466" s="64"/>
      <c r="HE466" s="64"/>
      <c r="HF466" s="64"/>
      <c r="HG466" s="64"/>
      <c r="HH466" s="64"/>
      <c r="HI466" s="64"/>
      <c r="HJ466" s="64"/>
      <c r="HK466" s="64"/>
      <c r="HL466" s="64"/>
      <c r="HM466" s="64"/>
      <c r="HN466" s="64"/>
      <c r="HO466" s="64"/>
      <c r="HP466" s="64"/>
      <c r="HQ466" s="64"/>
      <c r="HR466" s="64"/>
      <c r="HS466" s="64"/>
      <c r="HT466" s="64"/>
      <c r="HU466" s="64"/>
      <c r="HV466" s="64"/>
      <c r="HW466" s="64"/>
      <c r="HX466" s="64"/>
      <c r="HY466" s="64"/>
      <c r="HZ466" s="64"/>
      <c r="IA466" s="64"/>
      <c r="IB466" s="64"/>
      <c r="IC466" s="64"/>
      <c r="ID466" s="64"/>
      <c r="IE466" s="64"/>
      <c r="IF466" s="64"/>
      <c r="IG466" s="64"/>
      <c r="IH466" s="64"/>
      <c r="II466" s="64"/>
      <c r="IJ466" s="64"/>
      <c r="IK466" s="64"/>
      <c r="IL466" s="64"/>
      <c r="IM466" s="64"/>
      <c r="IN466" s="64"/>
      <c r="IO466" s="64"/>
      <c r="IP466" s="64"/>
      <c r="IQ466" s="64"/>
      <c r="IR466" s="64"/>
      <c r="IS466" s="64"/>
      <c r="IT466" s="64"/>
      <c r="IU466" s="64"/>
      <c r="IV466" s="64"/>
      <c r="IW466" s="64"/>
      <c r="IX466" s="64"/>
      <c r="IY466" s="64"/>
      <c r="IZ466" s="64"/>
      <c r="JA466" s="64"/>
      <c r="JB466" s="64"/>
      <c r="JC466" s="64"/>
      <c r="JD466" s="64"/>
      <c r="JE466" s="64"/>
      <c r="JF466" s="64"/>
      <c r="JG466" s="64"/>
      <c r="JH466" s="64"/>
      <c r="JI466" s="64"/>
    </row>
    <row r="467" spans="1:269" s="920" customFormat="1" x14ac:dyDescent="0.2">
      <c r="A467" s="116"/>
      <c r="B467" s="64"/>
      <c r="C467" s="64"/>
      <c r="D467" s="64"/>
      <c r="E467" s="64"/>
      <c r="F467" s="64"/>
      <c r="G467" s="64"/>
      <c r="H467" s="64"/>
      <c r="I467" s="64"/>
      <c r="J467" s="116"/>
      <c r="K467" s="116"/>
      <c r="L467" s="116"/>
      <c r="M467" s="116"/>
      <c r="N467" s="116"/>
      <c r="O467" s="116"/>
      <c r="P467" s="116"/>
      <c r="Q467" s="102"/>
      <c r="R467" s="102"/>
      <c r="S467" s="102"/>
      <c r="T467" s="102"/>
      <c r="U467" s="913"/>
      <c r="V467" s="114"/>
      <c r="W467" s="805"/>
      <c r="X467" s="805"/>
      <c r="Y467" s="805"/>
      <c r="Z467" s="914"/>
      <c r="AA467" s="102"/>
      <c r="AB467" s="102"/>
      <c r="AC467" s="102"/>
      <c r="AD467" s="102"/>
      <c r="AE467" s="102"/>
      <c r="AF467" s="102"/>
      <c r="AG467" s="102"/>
      <c r="AH467" s="102"/>
      <c r="AI467" s="102"/>
      <c r="AJ467" s="906"/>
      <c r="AK467" s="102"/>
      <c r="AL467" s="915"/>
      <c r="AM467" s="915"/>
      <c r="AN467" s="114"/>
      <c r="AO467" s="64"/>
      <c r="AP467" s="64"/>
      <c r="AQ467" s="64"/>
      <c r="AR467" s="916"/>
      <c r="AS467" s="916"/>
      <c r="AT467" s="916"/>
      <c r="AU467" s="917"/>
      <c r="AV467" s="917"/>
      <c r="AW467" s="917"/>
      <c r="AX467" s="918"/>
      <c r="AY467" s="916"/>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917"/>
      <c r="CA467" s="917"/>
      <c r="CB467" s="64"/>
      <c r="CC467" s="919"/>
      <c r="CD467" s="919"/>
      <c r="CE467" s="64"/>
      <c r="CF467" s="528"/>
      <c r="CG467" s="529"/>
      <c r="CH467" s="64"/>
      <c r="CI467" s="64"/>
      <c r="CJ467" s="64"/>
      <c r="CK467" s="64"/>
      <c r="CL467" s="64"/>
      <c r="CM467" s="64"/>
      <c r="CN467" s="64"/>
      <c r="CO467" s="64"/>
      <c r="CP467" s="64"/>
      <c r="CQ467" s="64"/>
      <c r="CR467" s="64"/>
      <c r="CS467" s="64"/>
      <c r="CT467" s="64"/>
      <c r="CU467" s="64"/>
      <c r="CV467" s="64"/>
      <c r="CW467" s="64"/>
      <c r="CX467" s="64"/>
      <c r="CY467" s="1011"/>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c r="FC467" s="64"/>
      <c r="FD467" s="64"/>
      <c r="FE467" s="64"/>
      <c r="FF467" s="64"/>
      <c r="FG467" s="64"/>
      <c r="FH467" s="64"/>
      <c r="FI467" s="64"/>
      <c r="FJ467" s="64"/>
      <c r="FK467" s="64"/>
      <c r="FL467" s="64"/>
      <c r="FM467" s="64"/>
      <c r="FN467" s="64"/>
      <c r="FO467" s="64"/>
      <c r="FP467" s="64"/>
      <c r="FQ467" s="64"/>
      <c r="FR467" s="64"/>
      <c r="FS467" s="64"/>
      <c r="FT467" s="64"/>
      <c r="FU467" s="64"/>
      <c r="FV467" s="64"/>
      <c r="FW467" s="64"/>
      <c r="FX467" s="64"/>
      <c r="FY467" s="64"/>
      <c r="FZ467" s="64"/>
      <c r="GA467" s="64"/>
      <c r="GB467" s="64"/>
      <c r="GC467" s="64"/>
      <c r="GD467" s="64"/>
      <c r="GE467" s="64"/>
      <c r="GF467" s="64"/>
      <c r="GG467" s="64"/>
      <c r="GH467" s="64"/>
      <c r="GI467" s="64"/>
      <c r="GJ467" s="64"/>
      <c r="GK467" s="64"/>
      <c r="GL467" s="64"/>
      <c r="GM467" s="64"/>
      <c r="GN467" s="64"/>
      <c r="GO467" s="64"/>
      <c r="GP467" s="64"/>
      <c r="GQ467" s="64"/>
      <c r="GR467" s="64"/>
      <c r="GS467" s="64"/>
      <c r="GT467" s="64"/>
      <c r="GU467" s="64"/>
      <c r="GV467" s="64"/>
      <c r="GW467" s="64"/>
      <c r="GX467" s="64"/>
      <c r="GY467" s="64"/>
      <c r="GZ467" s="64"/>
      <c r="HA467" s="64"/>
      <c r="HB467" s="64"/>
      <c r="HC467" s="64"/>
      <c r="HD467" s="64"/>
      <c r="HE467" s="64"/>
      <c r="HF467" s="64"/>
      <c r="HG467" s="64"/>
      <c r="HH467" s="64"/>
      <c r="HI467" s="64"/>
      <c r="HJ467" s="64"/>
      <c r="HK467" s="64"/>
      <c r="HL467" s="64"/>
      <c r="HM467" s="64"/>
      <c r="HN467" s="64"/>
      <c r="HO467" s="64"/>
      <c r="HP467" s="64"/>
      <c r="HQ467" s="64"/>
      <c r="HR467" s="64"/>
      <c r="HS467" s="64"/>
      <c r="HT467" s="64"/>
      <c r="HU467" s="64"/>
      <c r="HV467" s="64"/>
      <c r="HW467" s="64"/>
      <c r="HX467" s="64"/>
      <c r="HY467" s="64"/>
      <c r="HZ467" s="64"/>
      <c r="IA467" s="64"/>
      <c r="IB467" s="64"/>
      <c r="IC467" s="64"/>
      <c r="ID467" s="64"/>
      <c r="IE467" s="64"/>
      <c r="IF467" s="64"/>
      <c r="IG467" s="64"/>
      <c r="IH467" s="64"/>
      <c r="II467" s="64"/>
      <c r="IJ467" s="64"/>
      <c r="IK467" s="64"/>
      <c r="IL467" s="64"/>
      <c r="IM467" s="64"/>
      <c r="IN467" s="64"/>
      <c r="IO467" s="64"/>
      <c r="IP467" s="64"/>
      <c r="IQ467" s="64"/>
      <c r="IR467" s="64"/>
      <c r="IS467" s="64"/>
      <c r="IT467" s="64"/>
      <c r="IU467" s="64"/>
      <c r="IV467" s="64"/>
      <c r="IW467" s="64"/>
      <c r="IX467" s="64"/>
      <c r="IY467" s="64"/>
      <c r="IZ467" s="64"/>
      <c r="JA467" s="64"/>
      <c r="JB467" s="64"/>
      <c r="JC467" s="64"/>
      <c r="JD467" s="64"/>
      <c r="JE467" s="64"/>
      <c r="JF467" s="64"/>
      <c r="JG467" s="64"/>
      <c r="JH467" s="64"/>
      <c r="JI467" s="64"/>
    </row>
    <row r="468" spans="1:269" s="920" customFormat="1" x14ac:dyDescent="0.2">
      <c r="A468" s="116"/>
      <c r="B468" s="64"/>
      <c r="C468" s="64"/>
      <c r="D468" s="64"/>
      <c r="E468" s="64"/>
      <c r="F468" s="64"/>
      <c r="G468" s="64"/>
      <c r="H468" s="64"/>
      <c r="I468" s="64"/>
      <c r="J468" s="116"/>
      <c r="K468" s="116"/>
      <c r="L468" s="116"/>
      <c r="M468" s="116"/>
      <c r="N468" s="116"/>
      <c r="O468" s="116"/>
      <c r="P468" s="116"/>
      <c r="Q468" s="102"/>
      <c r="R468" s="102"/>
      <c r="S468" s="102"/>
      <c r="T468" s="102"/>
      <c r="U468" s="913"/>
      <c r="V468" s="114"/>
      <c r="W468" s="805"/>
      <c r="X468" s="805"/>
      <c r="Y468" s="805"/>
      <c r="Z468" s="914"/>
      <c r="AA468" s="102"/>
      <c r="AB468" s="102"/>
      <c r="AC468" s="102"/>
      <c r="AD468" s="102"/>
      <c r="AE468" s="102"/>
      <c r="AF468" s="102"/>
      <c r="AG468" s="102"/>
      <c r="AH468" s="102"/>
      <c r="AI468" s="102"/>
      <c r="AJ468" s="906"/>
      <c r="AK468" s="102"/>
      <c r="AL468" s="915"/>
      <c r="AM468" s="915"/>
      <c r="AN468" s="114"/>
      <c r="AO468" s="64"/>
      <c r="AP468" s="64"/>
      <c r="AQ468" s="64"/>
      <c r="AR468" s="916"/>
      <c r="AS468" s="916"/>
      <c r="AT468" s="916"/>
      <c r="AU468" s="917"/>
      <c r="AV468" s="917"/>
      <c r="AW468" s="917"/>
      <c r="AX468" s="918"/>
      <c r="AY468" s="916"/>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917"/>
      <c r="CA468" s="917"/>
      <c r="CB468" s="64"/>
      <c r="CC468" s="919"/>
      <c r="CD468" s="919"/>
      <c r="CE468" s="64"/>
      <c r="CF468" s="528"/>
      <c r="CG468" s="529"/>
      <c r="CH468" s="64"/>
      <c r="CI468" s="64"/>
      <c r="CJ468" s="64"/>
      <c r="CK468" s="64"/>
      <c r="CL468" s="64"/>
      <c r="CM468" s="64"/>
      <c r="CN468" s="64"/>
      <c r="CO468" s="64"/>
      <c r="CP468" s="64"/>
      <c r="CQ468" s="64"/>
      <c r="CR468" s="64"/>
      <c r="CS468" s="64"/>
      <c r="CT468" s="64"/>
      <c r="CU468" s="64"/>
      <c r="CV468" s="64"/>
      <c r="CW468" s="64"/>
      <c r="CX468" s="64"/>
      <c r="CY468" s="1011"/>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c r="FC468" s="64"/>
      <c r="FD468" s="64"/>
      <c r="FE468" s="64"/>
      <c r="FF468" s="64"/>
      <c r="FG468" s="64"/>
      <c r="FH468" s="64"/>
      <c r="FI468" s="64"/>
      <c r="FJ468" s="64"/>
      <c r="FK468" s="64"/>
      <c r="FL468" s="64"/>
      <c r="FM468" s="64"/>
      <c r="FN468" s="64"/>
      <c r="FO468" s="64"/>
      <c r="FP468" s="64"/>
      <c r="FQ468" s="64"/>
      <c r="FR468" s="64"/>
      <c r="FS468" s="64"/>
      <c r="FT468" s="64"/>
      <c r="FU468" s="64"/>
      <c r="FV468" s="64"/>
      <c r="FW468" s="64"/>
      <c r="FX468" s="64"/>
      <c r="FY468" s="64"/>
      <c r="FZ468" s="64"/>
      <c r="GA468" s="64"/>
      <c r="GB468" s="64"/>
      <c r="GC468" s="64"/>
      <c r="GD468" s="64"/>
      <c r="GE468" s="64"/>
      <c r="GF468" s="64"/>
      <c r="GG468" s="64"/>
      <c r="GH468" s="64"/>
      <c r="GI468" s="64"/>
      <c r="GJ468" s="64"/>
      <c r="GK468" s="64"/>
      <c r="GL468" s="64"/>
      <c r="GM468" s="64"/>
      <c r="GN468" s="64"/>
      <c r="GO468" s="64"/>
      <c r="GP468" s="64"/>
      <c r="GQ468" s="64"/>
      <c r="GR468" s="64"/>
      <c r="GS468" s="64"/>
      <c r="GT468" s="64"/>
      <c r="GU468" s="64"/>
      <c r="GV468" s="64"/>
      <c r="GW468" s="64"/>
      <c r="GX468" s="64"/>
      <c r="GY468" s="64"/>
      <c r="GZ468" s="64"/>
      <c r="HA468" s="64"/>
      <c r="HB468" s="64"/>
      <c r="HC468" s="64"/>
      <c r="HD468" s="64"/>
      <c r="HE468" s="64"/>
      <c r="HF468" s="64"/>
      <c r="HG468" s="64"/>
      <c r="HH468" s="64"/>
      <c r="HI468" s="64"/>
      <c r="HJ468" s="64"/>
      <c r="HK468" s="64"/>
      <c r="HL468" s="64"/>
      <c r="HM468" s="64"/>
      <c r="HN468" s="64"/>
      <c r="HO468" s="64"/>
      <c r="HP468" s="64"/>
      <c r="HQ468" s="64"/>
      <c r="HR468" s="64"/>
      <c r="HS468" s="64"/>
      <c r="HT468" s="64"/>
      <c r="HU468" s="64"/>
      <c r="HV468" s="64"/>
      <c r="HW468" s="64"/>
      <c r="HX468" s="64"/>
      <c r="HY468" s="64"/>
      <c r="HZ468" s="64"/>
      <c r="IA468" s="64"/>
      <c r="IB468" s="64"/>
      <c r="IC468" s="64"/>
      <c r="ID468" s="64"/>
      <c r="IE468" s="64"/>
      <c r="IF468" s="64"/>
      <c r="IG468" s="64"/>
      <c r="IH468" s="64"/>
      <c r="II468" s="64"/>
      <c r="IJ468" s="64"/>
      <c r="IK468" s="64"/>
      <c r="IL468" s="64"/>
      <c r="IM468" s="64"/>
      <c r="IN468" s="64"/>
      <c r="IO468" s="64"/>
      <c r="IP468" s="64"/>
      <c r="IQ468" s="64"/>
      <c r="IR468" s="64"/>
      <c r="IS468" s="64"/>
      <c r="IT468" s="64"/>
      <c r="IU468" s="64"/>
      <c r="IV468" s="64"/>
      <c r="IW468" s="64"/>
      <c r="IX468" s="64"/>
      <c r="IY468" s="64"/>
      <c r="IZ468" s="64"/>
      <c r="JA468" s="64"/>
      <c r="JB468" s="64"/>
      <c r="JC468" s="64"/>
      <c r="JD468" s="64"/>
      <c r="JE468" s="64"/>
      <c r="JF468" s="64"/>
      <c r="JG468" s="64"/>
      <c r="JH468" s="64"/>
      <c r="JI468" s="64"/>
    </row>
    <row r="469" spans="1:269" s="920" customFormat="1" x14ac:dyDescent="0.2">
      <c r="A469" s="116"/>
      <c r="B469" s="64"/>
      <c r="C469" s="64"/>
      <c r="D469" s="64"/>
      <c r="E469" s="64"/>
      <c r="F469" s="64"/>
      <c r="G469" s="64"/>
      <c r="H469" s="64"/>
      <c r="I469" s="64"/>
      <c r="J469" s="116"/>
      <c r="K469" s="116"/>
      <c r="L469" s="116"/>
      <c r="M469" s="116"/>
      <c r="N469" s="116"/>
      <c r="O469" s="116"/>
      <c r="P469" s="116"/>
      <c r="Q469" s="102"/>
      <c r="R469" s="102"/>
      <c r="S469" s="102"/>
      <c r="T469" s="102"/>
      <c r="U469" s="913"/>
      <c r="V469" s="114"/>
      <c r="W469" s="805"/>
      <c r="X469" s="805"/>
      <c r="Y469" s="805"/>
      <c r="Z469" s="914"/>
      <c r="AA469" s="102"/>
      <c r="AB469" s="102"/>
      <c r="AC469" s="102"/>
      <c r="AD469" s="102"/>
      <c r="AE469" s="102"/>
      <c r="AF469" s="102"/>
      <c r="AG469" s="102"/>
      <c r="AH469" s="102"/>
      <c r="AI469" s="102"/>
      <c r="AJ469" s="906"/>
      <c r="AK469" s="102"/>
      <c r="AL469" s="915"/>
      <c r="AM469" s="915"/>
      <c r="AN469" s="114"/>
      <c r="AO469" s="64"/>
      <c r="AP469" s="64"/>
      <c r="AQ469" s="64"/>
      <c r="AR469" s="916"/>
      <c r="AS469" s="916"/>
      <c r="AT469" s="916"/>
      <c r="AU469" s="917"/>
      <c r="AV469" s="917"/>
      <c r="AW469" s="917"/>
      <c r="AX469" s="918"/>
      <c r="AY469" s="916"/>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917"/>
      <c r="CA469" s="917"/>
      <c r="CB469" s="64"/>
      <c r="CC469" s="919"/>
      <c r="CD469" s="919"/>
      <c r="CE469" s="64"/>
      <c r="CF469" s="528"/>
      <c r="CG469" s="529"/>
      <c r="CH469" s="64"/>
      <c r="CI469" s="64"/>
      <c r="CJ469" s="64"/>
      <c r="CK469" s="64"/>
      <c r="CL469" s="64"/>
      <c r="CM469" s="64"/>
      <c r="CN469" s="64"/>
      <c r="CO469" s="64"/>
      <c r="CP469" s="64"/>
      <c r="CQ469" s="64"/>
      <c r="CR469" s="64"/>
      <c r="CS469" s="64"/>
      <c r="CT469" s="64"/>
      <c r="CU469" s="64"/>
      <c r="CV469" s="64"/>
      <c r="CW469" s="64"/>
      <c r="CX469" s="64"/>
      <c r="CY469" s="1011"/>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c r="FC469" s="64"/>
      <c r="FD469" s="64"/>
      <c r="FE469" s="64"/>
      <c r="FF469" s="64"/>
      <c r="FG469" s="64"/>
      <c r="FH469" s="64"/>
      <c r="FI469" s="64"/>
      <c r="FJ469" s="64"/>
      <c r="FK469" s="64"/>
      <c r="FL469" s="64"/>
      <c r="FM469" s="64"/>
      <c r="FN469" s="64"/>
      <c r="FO469" s="64"/>
      <c r="FP469" s="64"/>
      <c r="FQ469" s="64"/>
      <c r="FR469" s="64"/>
      <c r="FS469" s="64"/>
      <c r="FT469" s="64"/>
      <c r="FU469" s="64"/>
      <c r="FV469" s="64"/>
      <c r="FW469" s="64"/>
      <c r="FX469" s="64"/>
      <c r="FY469" s="64"/>
      <c r="FZ469" s="64"/>
      <c r="GA469" s="64"/>
      <c r="GB469" s="64"/>
      <c r="GC469" s="64"/>
      <c r="GD469" s="64"/>
      <c r="GE469" s="64"/>
      <c r="GF469" s="64"/>
      <c r="GG469" s="64"/>
      <c r="GH469" s="64"/>
      <c r="GI469" s="64"/>
      <c r="GJ469" s="64"/>
      <c r="GK469" s="64"/>
      <c r="GL469" s="64"/>
      <c r="GM469" s="64"/>
      <c r="GN469" s="64"/>
      <c r="GO469" s="64"/>
      <c r="GP469" s="64"/>
      <c r="GQ469" s="64"/>
      <c r="GR469" s="64"/>
      <c r="GS469" s="64"/>
      <c r="GT469" s="64"/>
      <c r="GU469" s="64"/>
      <c r="GV469" s="64"/>
      <c r="GW469" s="64"/>
      <c r="GX469" s="64"/>
      <c r="GY469" s="64"/>
      <c r="GZ469" s="64"/>
      <c r="HA469" s="64"/>
      <c r="HB469" s="64"/>
      <c r="HC469" s="64"/>
      <c r="HD469" s="64"/>
      <c r="HE469" s="64"/>
      <c r="HF469" s="64"/>
      <c r="HG469" s="64"/>
      <c r="HH469" s="64"/>
      <c r="HI469" s="64"/>
      <c r="HJ469" s="64"/>
      <c r="HK469" s="64"/>
      <c r="HL469" s="64"/>
      <c r="HM469" s="64"/>
      <c r="HN469" s="64"/>
      <c r="HO469" s="64"/>
      <c r="HP469" s="64"/>
      <c r="HQ469" s="64"/>
      <c r="HR469" s="64"/>
      <c r="HS469" s="64"/>
      <c r="HT469" s="64"/>
      <c r="HU469" s="64"/>
      <c r="HV469" s="64"/>
      <c r="HW469" s="64"/>
      <c r="HX469" s="64"/>
      <c r="HY469" s="64"/>
      <c r="HZ469" s="64"/>
      <c r="IA469" s="64"/>
      <c r="IB469" s="64"/>
      <c r="IC469" s="64"/>
      <c r="ID469" s="64"/>
      <c r="IE469" s="64"/>
      <c r="IF469" s="64"/>
      <c r="IG469" s="64"/>
      <c r="IH469" s="64"/>
      <c r="II469" s="64"/>
      <c r="IJ469" s="64"/>
      <c r="IK469" s="64"/>
      <c r="IL469" s="64"/>
      <c r="IM469" s="64"/>
      <c r="IN469" s="64"/>
      <c r="IO469" s="64"/>
      <c r="IP469" s="64"/>
      <c r="IQ469" s="64"/>
      <c r="IR469" s="64"/>
      <c r="IS469" s="64"/>
      <c r="IT469" s="64"/>
      <c r="IU469" s="64"/>
      <c r="IV469" s="64"/>
      <c r="IW469" s="64"/>
      <c r="IX469" s="64"/>
      <c r="IY469" s="64"/>
      <c r="IZ469" s="64"/>
      <c r="JA469" s="64"/>
      <c r="JB469" s="64"/>
      <c r="JC469" s="64"/>
      <c r="JD469" s="64"/>
      <c r="JE469" s="64"/>
      <c r="JF469" s="64"/>
      <c r="JG469" s="64"/>
      <c r="JH469" s="64"/>
      <c r="JI469" s="64"/>
    </row>
    <row r="470" spans="1:269" s="920" customFormat="1" x14ac:dyDescent="0.2">
      <c r="A470" s="116"/>
      <c r="B470" s="64"/>
      <c r="C470" s="64"/>
      <c r="D470" s="64"/>
      <c r="E470" s="64"/>
      <c r="F470" s="64"/>
      <c r="G470" s="64"/>
      <c r="H470" s="64"/>
      <c r="I470" s="64"/>
      <c r="J470" s="116"/>
      <c r="K470" s="116"/>
      <c r="L470" s="116"/>
      <c r="M470" s="116"/>
      <c r="N470" s="116"/>
      <c r="O470" s="116"/>
      <c r="P470" s="116"/>
      <c r="Q470" s="102"/>
      <c r="R470" s="102"/>
      <c r="S470" s="102"/>
      <c r="T470" s="102"/>
      <c r="U470" s="913"/>
      <c r="V470" s="114"/>
      <c r="W470" s="805"/>
      <c r="X470" s="805"/>
      <c r="Y470" s="805"/>
      <c r="Z470" s="914"/>
      <c r="AA470" s="102"/>
      <c r="AB470" s="102"/>
      <c r="AC470" s="102"/>
      <c r="AD470" s="102"/>
      <c r="AE470" s="102"/>
      <c r="AF470" s="102"/>
      <c r="AG470" s="102"/>
      <c r="AH470" s="102"/>
      <c r="AI470" s="102"/>
      <c r="AJ470" s="906"/>
      <c r="AK470" s="102"/>
      <c r="AL470" s="915"/>
      <c r="AM470" s="915"/>
      <c r="AN470" s="114"/>
      <c r="AO470" s="64"/>
      <c r="AP470" s="64"/>
      <c r="AQ470" s="64"/>
      <c r="AR470" s="916"/>
      <c r="AS470" s="916"/>
      <c r="AT470" s="916"/>
      <c r="AU470" s="917"/>
      <c r="AV470" s="917"/>
      <c r="AW470" s="917"/>
      <c r="AX470" s="918"/>
      <c r="AY470" s="916"/>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917"/>
      <c r="CA470" s="917"/>
      <c r="CB470" s="64"/>
      <c r="CC470" s="919"/>
      <c r="CD470" s="919"/>
      <c r="CE470" s="64"/>
      <c r="CF470" s="528"/>
      <c r="CG470" s="529"/>
      <c r="CH470" s="64"/>
      <c r="CI470" s="64"/>
      <c r="CJ470" s="64"/>
      <c r="CK470" s="64"/>
      <c r="CL470" s="64"/>
      <c r="CM470" s="64"/>
      <c r="CN470" s="64"/>
      <c r="CO470" s="64"/>
      <c r="CP470" s="64"/>
      <c r="CQ470" s="64"/>
      <c r="CR470" s="64"/>
      <c r="CS470" s="64"/>
      <c r="CT470" s="64"/>
      <c r="CU470" s="64"/>
      <c r="CV470" s="64"/>
      <c r="CW470" s="64"/>
      <c r="CX470" s="64"/>
      <c r="CY470" s="1011"/>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c r="FC470" s="64"/>
      <c r="FD470" s="64"/>
      <c r="FE470" s="64"/>
      <c r="FF470" s="64"/>
      <c r="FG470" s="64"/>
      <c r="FH470" s="64"/>
      <c r="FI470" s="64"/>
      <c r="FJ470" s="64"/>
      <c r="FK470" s="64"/>
      <c r="FL470" s="64"/>
      <c r="FM470" s="64"/>
      <c r="FN470" s="64"/>
      <c r="FO470" s="64"/>
      <c r="FP470" s="64"/>
      <c r="FQ470" s="64"/>
      <c r="FR470" s="64"/>
      <c r="FS470" s="64"/>
      <c r="FT470" s="64"/>
      <c r="FU470" s="64"/>
      <c r="FV470" s="64"/>
      <c r="FW470" s="64"/>
      <c r="FX470" s="64"/>
      <c r="FY470" s="64"/>
      <c r="FZ470" s="64"/>
      <c r="GA470" s="64"/>
      <c r="GB470" s="64"/>
      <c r="GC470" s="64"/>
      <c r="GD470" s="64"/>
      <c r="GE470" s="64"/>
      <c r="GF470" s="64"/>
      <c r="GG470" s="64"/>
      <c r="GH470" s="64"/>
      <c r="GI470" s="64"/>
      <c r="GJ470" s="64"/>
      <c r="GK470" s="64"/>
      <c r="GL470" s="64"/>
      <c r="GM470" s="64"/>
      <c r="GN470" s="64"/>
      <c r="GO470" s="64"/>
      <c r="GP470" s="64"/>
      <c r="GQ470" s="64"/>
      <c r="GR470" s="64"/>
      <c r="GS470" s="64"/>
      <c r="GT470" s="64"/>
      <c r="GU470" s="64"/>
      <c r="GV470" s="64"/>
      <c r="GW470" s="64"/>
      <c r="GX470" s="64"/>
      <c r="GY470" s="64"/>
      <c r="GZ470" s="64"/>
      <c r="HA470" s="64"/>
      <c r="HB470" s="64"/>
      <c r="HC470" s="64"/>
      <c r="HD470" s="64"/>
      <c r="HE470" s="64"/>
      <c r="HF470" s="64"/>
      <c r="HG470" s="64"/>
      <c r="HH470" s="64"/>
      <c r="HI470" s="64"/>
      <c r="HJ470" s="64"/>
      <c r="HK470" s="64"/>
      <c r="HL470" s="64"/>
      <c r="HM470" s="64"/>
      <c r="HN470" s="64"/>
      <c r="HO470" s="64"/>
      <c r="HP470" s="64"/>
      <c r="HQ470" s="64"/>
      <c r="HR470" s="64"/>
      <c r="HS470" s="64"/>
      <c r="HT470" s="64"/>
      <c r="HU470" s="64"/>
      <c r="HV470" s="64"/>
      <c r="HW470" s="64"/>
      <c r="HX470" s="64"/>
      <c r="HY470" s="64"/>
      <c r="HZ470" s="64"/>
      <c r="IA470" s="64"/>
      <c r="IB470" s="64"/>
      <c r="IC470" s="64"/>
      <c r="ID470" s="64"/>
      <c r="IE470" s="64"/>
      <c r="IF470" s="64"/>
      <c r="IG470" s="64"/>
      <c r="IH470" s="64"/>
      <c r="II470" s="64"/>
      <c r="IJ470" s="64"/>
      <c r="IK470" s="64"/>
      <c r="IL470" s="64"/>
      <c r="IM470" s="64"/>
      <c r="IN470" s="64"/>
      <c r="IO470" s="64"/>
      <c r="IP470" s="64"/>
      <c r="IQ470" s="64"/>
      <c r="IR470" s="64"/>
      <c r="IS470" s="64"/>
      <c r="IT470" s="64"/>
      <c r="IU470" s="64"/>
      <c r="IV470" s="64"/>
      <c r="IW470" s="64"/>
      <c r="IX470" s="64"/>
      <c r="IY470" s="64"/>
      <c r="IZ470" s="64"/>
      <c r="JA470" s="64"/>
      <c r="JB470" s="64"/>
      <c r="JC470" s="64"/>
      <c r="JD470" s="64"/>
      <c r="JE470" s="64"/>
      <c r="JF470" s="64"/>
      <c r="JG470" s="64"/>
      <c r="JH470" s="64"/>
      <c r="JI470" s="64"/>
    </row>
    <row r="471" spans="1:269" s="920" customFormat="1" x14ac:dyDescent="0.2">
      <c r="A471" s="116"/>
      <c r="B471" s="64"/>
      <c r="C471" s="64"/>
      <c r="D471" s="64"/>
      <c r="E471" s="64"/>
      <c r="F471" s="64"/>
      <c r="G471" s="64"/>
      <c r="H471" s="64"/>
      <c r="I471" s="64"/>
      <c r="J471" s="116"/>
      <c r="K471" s="116"/>
      <c r="L471" s="116"/>
      <c r="M471" s="116"/>
      <c r="N471" s="116"/>
      <c r="O471" s="116"/>
      <c r="P471" s="116"/>
      <c r="Q471" s="102"/>
      <c r="R471" s="102"/>
      <c r="S471" s="102"/>
      <c r="T471" s="102"/>
      <c r="U471" s="913"/>
      <c r="V471" s="114"/>
      <c r="W471" s="805"/>
      <c r="X471" s="805"/>
      <c r="Y471" s="805"/>
      <c r="Z471" s="914"/>
      <c r="AA471" s="102"/>
      <c r="AB471" s="102"/>
      <c r="AC471" s="102"/>
      <c r="AD471" s="102"/>
      <c r="AE471" s="102"/>
      <c r="AF471" s="102"/>
      <c r="AG471" s="102"/>
      <c r="AH471" s="102"/>
      <c r="AI471" s="102"/>
      <c r="AJ471" s="906"/>
      <c r="AK471" s="102"/>
      <c r="AL471" s="915"/>
      <c r="AM471" s="915"/>
      <c r="AN471" s="114"/>
      <c r="AO471" s="64"/>
      <c r="AP471" s="64"/>
      <c r="AQ471" s="64"/>
      <c r="AR471" s="916"/>
      <c r="AS471" s="916"/>
      <c r="AT471" s="916"/>
      <c r="AU471" s="917"/>
      <c r="AV471" s="917"/>
      <c r="AW471" s="917"/>
      <c r="AX471" s="918"/>
      <c r="AY471" s="916"/>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917"/>
      <c r="CA471" s="917"/>
      <c r="CB471" s="64"/>
      <c r="CC471" s="919"/>
      <c r="CD471" s="919"/>
      <c r="CE471" s="64"/>
      <c r="CF471" s="528"/>
      <c r="CG471" s="529"/>
      <c r="CH471" s="64"/>
      <c r="CI471" s="64"/>
      <c r="CJ471" s="64"/>
      <c r="CK471" s="64"/>
      <c r="CL471" s="64"/>
      <c r="CM471" s="64"/>
      <c r="CN471" s="64"/>
      <c r="CO471" s="64"/>
      <c r="CP471" s="64"/>
      <c r="CQ471" s="64"/>
      <c r="CR471" s="64"/>
      <c r="CS471" s="64"/>
      <c r="CT471" s="64"/>
      <c r="CU471" s="64"/>
      <c r="CV471" s="64"/>
      <c r="CW471" s="64"/>
      <c r="CX471" s="64"/>
      <c r="CY471" s="1011"/>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c r="FC471" s="64"/>
      <c r="FD471" s="64"/>
      <c r="FE471" s="64"/>
      <c r="FF471" s="64"/>
      <c r="FG471" s="64"/>
      <c r="FH471" s="64"/>
      <c r="FI471" s="64"/>
      <c r="FJ471" s="64"/>
      <c r="FK471" s="64"/>
      <c r="FL471" s="64"/>
      <c r="FM471" s="64"/>
      <c r="FN471" s="64"/>
      <c r="FO471" s="64"/>
      <c r="FP471" s="64"/>
      <c r="FQ471" s="64"/>
      <c r="FR471" s="64"/>
      <c r="FS471" s="64"/>
      <c r="FT471" s="64"/>
      <c r="FU471" s="64"/>
      <c r="FV471" s="64"/>
      <c r="FW471" s="64"/>
      <c r="FX471" s="64"/>
      <c r="FY471" s="64"/>
      <c r="FZ471" s="64"/>
      <c r="GA471" s="64"/>
      <c r="GB471" s="64"/>
      <c r="GC471" s="64"/>
      <c r="GD471" s="64"/>
      <c r="GE471" s="64"/>
      <c r="GF471" s="64"/>
      <c r="GG471" s="64"/>
      <c r="GH471" s="64"/>
      <c r="GI471" s="64"/>
      <c r="GJ471" s="64"/>
      <c r="GK471" s="64"/>
      <c r="GL471" s="64"/>
      <c r="GM471" s="64"/>
      <c r="GN471" s="64"/>
      <c r="GO471" s="64"/>
      <c r="GP471" s="64"/>
      <c r="GQ471" s="64"/>
      <c r="GR471" s="64"/>
      <c r="GS471" s="64"/>
      <c r="GT471" s="64"/>
      <c r="GU471" s="64"/>
      <c r="GV471" s="64"/>
      <c r="GW471" s="64"/>
      <c r="GX471" s="64"/>
      <c r="GY471" s="64"/>
      <c r="GZ471" s="64"/>
      <c r="HA471" s="64"/>
      <c r="HB471" s="64"/>
      <c r="HC471" s="64"/>
      <c r="HD471" s="64"/>
      <c r="HE471" s="64"/>
      <c r="HF471" s="64"/>
      <c r="HG471" s="64"/>
      <c r="HH471" s="64"/>
      <c r="HI471" s="64"/>
      <c r="HJ471" s="64"/>
      <c r="HK471" s="64"/>
      <c r="HL471" s="64"/>
      <c r="HM471" s="64"/>
      <c r="HN471" s="64"/>
      <c r="HO471" s="64"/>
      <c r="HP471" s="64"/>
      <c r="HQ471" s="64"/>
      <c r="HR471" s="64"/>
      <c r="HS471" s="64"/>
      <c r="HT471" s="64"/>
      <c r="HU471" s="64"/>
      <c r="HV471" s="64"/>
      <c r="HW471" s="64"/>
      <c r="HX471" s="64"/>
      <c r="HY471" s="64"/>
      <c r="HZ471" s="64"/>
      <c r="IA471" s="64"/>
      <c r="IB471" s="64"/>
      <c r="IC471" s="64"/>
      <c r="ID471" s="64"/>
      <c r="IE471" s="64"/>
      <c r="IF471" s="64"/>
      <c r="IG471" s="64"/>
      <c r="IH471" s="64"/>
      <c r="II471" s="64"/>
      <c r="IJ471" s="64"/>
      <c r="IK471" s="64"/>
      <c r="IL471" s="64"/>
      <c r="IM471" s="64"/>
      <c r="IN471" s="64"/>
      <c r="IO471" s="64"/>
      <c r="IP471" s="64"/>
      <c r="IQ471" s="64"/>
      <c r="IR471" s="64"/>
      <c r="IS471" s="64"/>
      <c r="IT471" s="64"/>
      <c r="IU471" s="64"/>
      <c r="IV471" s="64"/>
      <c r="IW471" s="64"/>
      <c r="IX471" s="64"/>
      <c r="IY471" s="64"/>
      <c r="IZ471" s="64"/>
      <c r="JA471" s="64"/>
      <c r="JB471" s="64"/>
      <c r="JC471" s="64"/>
      <c r="JD471" s="64"/>
      <c r="JE471" s="64"/>
      <c r="JF471" s="64"/>
      <c r="JG471" s="64"/>
      <c r="JH471" s="64"/>
      <c r="JI471" s="64"/>
    </row>
    <row r="472" spans="1:269" s="920" customFormat="1" x14ac:dyDescent="0.2">
      <c r="A472" s="116"/>
      <c r="B472" s="64"/>
      <c r="C472" s="64"/>
      <c r="D472" s="64"/>
      <c r="E472" s="64"/>
      <c r="F472" s="64"/>
      <c r="G472" s="64"/>
      <c r="H472" s="64"/>
      <c r="I472" s="64"/>
      <c r="J472" s="116"/>
      <c r="K472" s="116"/>
      <c r="L472" s="116"/>
      <c r="M472" s="116"/>
      <c r="N472" s="116"/>
      <c r="O472" s="116"/>
      <c r="P472" s="116"/>
      <c r="Q472" s="102"/>
      <c r="R472" s="102"/>
      <c r="S472" s="102"/>
      <c r="T472" s="102"/>
      <c r="U472" s="913"/>
      <c r="V472" s="114"/>
      <c r="W472" s="805"/>
      <c r="X472" s="805"/>
      <c r="Y472" s="805"/>
      <c r="Z472" s="914"/>
      <c r="AA472" s="102"/>
      <c r="AB472" s="102"/>
      <c r="AC472" s="102"/>
      <c r="AD472" s="102"/>
      <c r="AE472" s="102"/>
      <c r="AF472" s="102"/>
      <c r="AG472" s="102"/>
      <c r="AH472" s="102"/>
      <c r="AI472" s="102"/>
      <c r="AJ472" s="906"/>
      <c r="AK472" s="102"/>
      <c r="AL472" s="915"/>
      <c r="AM472" s="915"/>
      <c r="AN472" s="114"/>
      <c r="AO472" s="64"/>
      <c r="AP472" s="64"/>
      <c r="AQ472" s="64"/>
      <c r="AR472" s="916"/>
      <c r="AS472" s="916"/>
      <c r="AT472" s="916"/>
      <c r="AU472" s="917"/>
      <c r="AV472" s="917"/>
      <c r="AW472" s="917"/>
      <c r="AX472" s="918"/>
      <c r="AY472" s="916"/>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917"/>
      <c r="CA472" s="917"/>
      <c r="CB472" s="64"/>
      <c r="CC472" s="919"/>
      <c r="CD472" s="919"/>
      <c r="CE472" s="64"/>
      <c r="CF472" s="528"/>
      <c r="CG472" s="529"/>
      <c r="CH472" s="64"/>
      <c r="CI472" s="64"/>
      <c r="CJ472" s="64"/>
      <c r="CK472" s="64"/>
      <c r="CL472" s="64"/>
      <c r="CM472" s="64"/>
      <c r="CN472" s="64"/>
      <c r="CO472" s="64"/>
      <c r="CP472" s="64"/>
      <c r="CQ472" s="64"/>
      <c r="CR472" s="64"/>
      <c r="CS472" s="64"/>
      <c r="CT472" s="64"/>
      <c r="CU472" s="64"/>
      <c r="CV472" s="64"/>
      <c r="CW472" s="64"/>
      <c r="CX472" s="64"/>
      <c r="CY472" s="1011"/>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c r="FC472" s="64"/>
      <c r="FD472" s="64"/>
      <c r="FE472" s="64"/>
      <c r="FF472" s="64"/>
      <c r="FG472" s="64"/>
      <c r="FH472" s="64"/>
      <c r="FI472" s="64"/>
      <c r="FJ472" s="64"/>
      <c r="FK472" s="64"/>
      <c r="FL472" s="64"/>
      <c r="FM472" s="64"/>
      <c r="FN472" s="64"/>
      <c r="FO472" s="64"/>
      <c r="FP472" s="64"/>
      <c r="FQ472" s="64"/>
      <c r="FR472" s="64"/>
      <c r="FS472" s="64"/>
      <c r="FT472" s="64"/>
      <c r="FU472" s="64"/>
      <c r="FV472" s="64"/>
      <c r="FW472" s="64"/>
      <c r="FX472" s="64"/>
      <c r="FY472" s="64"/>
      <c r="FZ472" s="64"/>
      <c r="GA472" s="64"/>
      <c r="GB472" s="64"/>
      <c r="GC472" s="64"/>
      <c r="GD472" s="64"/>
      <c r="GE472" s="64"/>
      <c r="GF472" s="64"/>
      <c r="GG472" s="64"/>
      <c r="GH472" s="64"/>
      <c r="GI472" s="64"/>
      <c r="GJ472" s="64"/>
      <c r="GK472" s="64"/>
      <c r="GL472" s="64"/>
      <c r="GM472" s="64"/>
      <c r="GN472" s="64"/>
      <c r="GO472" s="64"/>
      <c r="GP472" s="64"/>
      <c r="GQ472" s="64"/>
      <c r="GR472" s="64"/>
      <c r="GS472" s="64"/>
      <c r="GT472" s="64"/>
      <c r="GU472" s="64"/>
      <c r="GV472" s="64"/>
      <c r="GW472" s="64"/>
      <c r="GX472" s="64"/>
      <c r="GY472" s="64"/>
      <c r="GZ472" s="64"/>
      <c r="HA472" s="64"/>
      <c r="HB472" s="64"/>
      <c r="HC472" s="64"/>
      <c r="HD472" s="64"/>
      <c r="HE472" s="64"/>
      <c r="HF472" s="64"/>
      <c r="HG472" s="64"/>
      <c r="HH472" s="64"/>
      <c r="HI472" s="64"/>
      <c r="HJ472" s="64"/>
      <c r="HK472" s="64"/>
      <c r="HL472" s="64"/>
      <c r="HM472" s="64"/>
      <c r="HN472" s="64"/>
      <c r="HO472" s="64"/>
      <c r="HP472" s="64"/>
      <c r="HQ472" s="64"/>
      <c r="HR472" s="64"/>
      <c r="HS472" s="64"/>
      <c r="HT472" s="64"/>
      <c r="HU472" s="64"/>
      <c r="HV472" s="64"/>
      <c r="HW472" s="64"/>
      <c r="HX472" s="64"/>
      <c r="HY472" s="64"/>
      <c r="HZ472" s="64"/>
      <c r="IA472" s="64"/>
      <c r="IB472" s="64"/>
      <c r="IC472" s="64"/>
      <c r="ID472" s="64"/>
      <c r="IE472" s="64"/>
      <c r="IF472" s="64"/>
      <c r="IG472" s="64"/>
      <c r="IH472" s="64"/>
      <c r="II472" s="64"/>
      <c r="IJ472" s="64"/>
      <c r="IK472" s="64"/>
      <c r="IL472" s="64"/>
      <c r="IM472" s="64"/>
      <c r="IN472" s="64"/>
      <c r="IO472" s="64"/>
      <c r="IP472" s="64"/>
      <c r="IQ472" s="64"/>
      <c r="IR472" s="64"/>
      <c r="IS472" s="64"/>
      <c r="IT472" s="64"/>
      <c r="IU472" s="64"/>
      <c r="IV472" s="64"/>
      <c r="IW472" s="64"/>
      <c r="IX472" s="64"/>
      <c r="IY472" s="64"/>
      <c r="IZ472" s="64"/>
      <c r="JA472" s="64"/>
      <c r="JB472" s="64"/>
      <c r="JC472" s="64"/>
      <c r="JD472" s="64"/>
      <c r="JE472" s="64"/>
      <c r="JF472" s="64"/>
      <c r="JG472" s="64"/>
      <c r="JH472" s="64"/>
      <c r="JI472" s="64"/>
    </row>
    <row r="473" spans="1:269" s="920" customFormat="1" x14ac:dyDescent="0.2">
      <c r="A473" s="116"/>
      <c r="B473" s="64"/>
      <c r="C473" s="64"/>
      <c r="D473" s="64"/>
      <c r="E473" s="64"/>
      <c r="F473" s="64"/>
      <c r="G473" s="64"/>
      <c r="H473" s="64"/>
      <c r="I473" s="64"/>
      <c r="J473" s="116"/>
      <c r="K473" s="116"/>
      <c r="L473" s="116"/>
      <c r="M473" s="116"/>
      <c r="N473" s="116"/>
      <c r="O473" s="116"/>
      <c r="P473" s="116"/>
      <c r="Q473" s="102"/>
      <c r="R473" s="102"/>
      <c r="S473" s="102"/>
      <c r="T473" s="102"/>
      <c r="U473" s="913"/>
      <c r="V473" s="114"/>
      <c r="W473" s="805"/>
      <c r="X473" s="805"/>
      <c r="Y473" s="805"/>
      <c r="Z473" s="914"/>
      <c r="AA473" s="102"/>
      <c r="AB473" s="102"/>
      <c r="AC473" s="102"/>
      <c r="AD473" s="102"/>
      <c r="AE473" s="102"/>
      <c r="AF473" s="102"/>
      <c r="AG473" s="102"/>
      <c r="AH473" s="102"/>
      <c r="AI473" s="102"/>
      <c r="AJ473" s="906"/>
      <c r="AK473" s="102"/>
      <c r="AL473" s="915"/>
      <c r="AM473" s="915"/>
      <c r="AN473" s="114"/>
      <c r="AO473" s="64"/>
      <c r="AP473" s="64"/>
      <c r="AQ473" s="64"/>
      <c r="AR473" s="916"/>
      <c r="AS473" s="916"/>
      <c r="AT473" s="916"/>
      <c r="AU473" s="917"/>
      <c r="AV473" s="917"/>
      <c r="AW473" s="917"/>
      <c r="AX473" s="918"/>
      <c r="AY473" s="916"/>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917"/>
      <c r="CA473" s="917"/>
      <c r="CB473" s="64"/>
      <c r="CC473" s="919"/>
      <c r="CD473" s="919"/>
      <c r="CE473" s="64"/>
      <c r="CF473" s="528"/>
      <c r="CG473" s="529"/>
      <c r="CH473" s="64"/>
      <c r="CI473" s="64"/>
      <c r="CJ473" s="64"/>
      <c r="CK473" s="64"/>
      <c r="CL473" s="64"/>
      <c r="CM473" s="64"/>
      <c r="CN473" s="64"/>
      <c r="CO473" s="64"/>
      <c r="CP473" s="64"/>
      <c r="CQ473" s="64"/>
      <c r="CR473" s="64"/>
      <c r="CS473" s="64"/>
      <c r="CT473" s="64"/>
      <c r="CU473" s="64"/>
      <c r="CV473" s="64"/>
      <c r="CW473" s="64"/>
      <c r="CX473" s="64"/>
      <c r="CY473" s="1011"/>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c r="FC473" s="64"/>
      <c r="FD473" s="64"/>
      <c r="FE473" s="64"/>
      <c r="FF473" s="64"/>
      <c r="FG473" s="64"/>
      <c r="FH473" s="64"/>
      <c r="FI473" s="64"/>
      <c r="FJ473" s="64"/>
      <c r="FK473" s="64"/>
      <c r="FL473" s="64"/>
      <c r="FM473" s="64"/>
      <c r="FN473" s="64"/>
      <c r="FO473" s="64"/>
      <c r="FP473" s="64"/>
      <c r="FQ473" s="64"/>
      <c r="FR473" s="64"/>
      <c r="FS473" s="64"/>
      <c r="FT473" s="64"/>
      <c r="FU473" s="64"/>
      <c r="FV473" s="64"/>
      <c r="FW473" s="64"/>
      <c r="FX473" s="64"/>
      <c r="FY473" s="64"/>
      <c r="FZ473" s="64"/>
      <c r="GA473" s="64"/>
      <c r="GB473" s="64"/>
      <c r="GC473" s="64"/>
      <c r="GD473" s="64"/>
      <c r="GE473" s="64"/>
      <c r="GF473" s="64"/>
      <c r="GG473" s="64"/>
      <c r="GH473" s="64"/>
      <c r="GI473" s="64"/>
      <c r="GJ473" s="64"/>
      <c r="GK473" s="64"/>
      <c r="GL473" s="64"/>
      <c r="GM473" s="64"/>
      <c r="GN473" s="64"/>
      <c r="GO473" s="64"/>
      <c r="GP473" s="64"/>
      <c r="GQ473" s="64"/>
      <c r="GR473" s="64"/>
      <c r="GS473" s="64"/>
      <c r="GT473" s="64"/>
      <c r="GU473" s="64"/>
      <c r="GV473" s="64"/>
      <c r="GW473" s="64"/>
      <c r="GX473" s="64"/>
      <c r="GY473" s="64"/>
      <c r="GZ473" s="64"/>
      <c r="HA473" s="64"/>
      <c r="HB473" s="64"/>
      <c r="HC473" s="64"/>
      <c r="HD473" s="64"/>
      <c r="HE473" s="64"/>
      <c r="HF473" s="64"/>
      <c r="HG473" s="64"/>
      <c r="HH473" s="64"/>
      <c r="HI473" s="64"/>
      <c r="HJ473" s="64"/>
      <c r="HK473" s="64"/>
      <c r="HL473" s="64"/>
      <c r="HM473" s="64"/>
      <c r="HN473" s="64"/>
      <c r="HO473" s="64"/>
      <c r="HP473" s="64"/>
      <c r="HQ473" s="64"/>
      <c r="HR473" s="64"/>
      <c r="HS473" s="64"/>
      <c r="HT473" s="64"/>
      <c r="HU473" s="64"/>
      <c r="HV473" s="64"/>
      <c r="HW473" s="64"/>
      <c r="HX473" s="64"/>
      <c r="HY473" s="64"/>
      <c r="HZ473" s="64"/>
      <c r="IA473" s="64"/>
      <c r="IB473" s="64"/>
      <c r="IC473" s="64"/>
      <c r="ID473" s="64"/>
      <c r="IE473" s="64"/>
      <c r="IF473" s="64"/>
      <c r="IG473" s="64"/>
      <c r="IH473" s="64"/>
      <c r="II473" s="64"/>
      <c r="IJ473" s="64"/>
      <c r="IK473" s="64"/>
      <c r="IL473" s="64"/>
      <c r="IM473" s="64"/>
      <c r="IN473" s="64"/>
      <c r="IO473" s="64"/>
      <c r="IP473" s="64"/>
      <c r="IQ473" s="64"/>
      <c r="IR473" s="64"/>
      <c r="IS473" s="64"/>
      <c r="IT473" s="64"/>
      <c r="IU473" s="64"/>
      <c r="IV473" s="64"/>
      <c r="IW473" s="64"/>
      <c r="IX473" s="64"/>
      <c r="IY473" s="64"/>
      <c r="IZ473" s="64"/>
      <c r="JA473" s="64"/>
      <c r="JB473" s="64"/>
      <c r="JC473" s="64"/>
      <c r="JD473" s="64"/>
      <c r="JE473" s="64"/>
      <c r="JF473" s="64"/>
      <c r="JG473" s="64"/>
      <c r="JH473" s="64"/>
      <c r="JI473" s="64"/>
    </row>
    <row r="474" spans="1:269" s="920" customFormat="1" x14ac:dyDescent="0.2">
      <c r="A474" s="116"/>
      <c r="B474" s="64"/>
      <c r="C474" s="64"/>
      <c r="D474" s="64"/>
      <c r="E474" s="64"/>
      <c r="F474" s="64"/>
      <c r="G474" s="64"/>
      <c r="H474" s="64"/>
      <c r="I474" s="64"/>
      <c r="J474" s="116"/>
      <c r="K474" s="116"/>
      <c r="L474" s="116"/>
      <c r="M474" s="116"/>
      <c r="N474" s="116"/>
      <c r="O474" s="116"/>
      <c r="P474" s="116"/>
      <c r="Q474" s="102"/>
      <c r="R474" s="102"/>
      <c r="S474" s="102"/>
      <c r="T474" s="102"/>
      <c r="U474" s="913"/>
      <c r="V474" s="114"/>
      <c r="W474" s="805"/>
      <c r="X474" s="805"/>
      <c r="Y474" s="805"/>
      <c r="Z474" s="914"/>
      <c r="AA474" s="102"/>
      <c r="AB474" s="102"/>
      <c r="AC474" s="102"/>
      <c r="AD474" s="102"/>
      <c r="AE474" s="102"/>
      <c r="AF474" s="102"/>
      <c r="AG474" s="102"/>
      <c r="AH474" s="102"/>
      <c r="AI474" s="102"/>
      <c r="AJ474" s="906"/>
      <c r="AK474" s="102"/>
      <c r="AL474" s="915"/>
      <c r="AM474" s="915"/>
      <c r="AN474" s="114"/>
      <c r="AO474" s="64"/>
      <c r="AP474" s="64"/>
      <c r="AQ474" s="64"/>
      <c r="AR474" s="916"/>
      <c r="AS474" s="916"/>
      <c r="AT474" s="916"/>
      <c r="AU474" s="917"/>
      <c r="AV474" s="917"/>
      <c r="AW474" s="917"/>
      <c r="AX474" s="918"/>
      <c r="AY474" s="916"/>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917"/>
      <c r="CA474" s="917"/>
      <c r="CB474" s="64"/>
      <c r="CC474" s="919"/>
      <c r="CD474" s="919"/>
      <c r="CE474" s="64"/>
      <c r="CF474" s="528"/>
      <c r="CG474" s="529"/>
      <c r="CH474" s="64"/>
      <c r="CI474" s="64"/>
      <c r="CJ474" s="64"/>
      <c r="CK474" s="64"/>
      <c r="CL474" s="64"/>
      <c r="CM474" s="64"/>
      <c r="CN474" s="64"/>
      <c r="CO474" s="64"/>
      <c r="CP474" s="64"/>
      <c r="CQ474" s="64"/>
      <c r="CR474" s="64"/>
      <c r="CS474" s="64"/>
      <c r="CT474" s="64"/>
      <c r="CU474" s="64"/>
      <c r="CV474" s="64"/>
      <c r="CW474" s="64"/>
      <c r="CX474" s="64"/>
      <c r="CY474" s="1011"/>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c r="FC474" s="64"/>
      <c r="FD474" s="64"/>
      <c r="FE474" s="64"/>
      <c r="FF474" s="64"/>
      <c r="FG474" s="64"/>
      <c r="FH474" s="64"/>
      <c r="FI474" s="64"/>
      <c r="FJ474" s="64"/>
      <c r="FK474" s="64"/>
      <c r="FL474" s="64"/>
      <c r="FM474" s="64"/>
      <c r="FN474" s="64"/>
      <c r="FO474" s="64"/>
      <c r="FP474" s="64"/>
      <c r="FQ474" s="64"/>
      <c r="FR474" s="64"/>
      <c r="FS474" s="64"/>
      <c r="FT474" s="64"/>
      <c r="FU474" s="64"/>
      <c r="FV474" s="64"/>
      <c r="FW474" s="64"/>
      <c r="FX474" s="64"/>
      <c r="FY474" s="64"/>
      <c r="FZ474" s="64"/>
      <c r="GA474" s="64"/>
      <c r="GB474" s="64"/>
      <c r="GC474" s="64"/>
      <c r="GD474" s="64"/>
      <c r="GE474" s="64"/>
      <c r="GF474" s="64"/>
      <c r="GG474" s="64"/>
      <c r="GH474" s="64"/>
      <c r="GI474" s="64"/>
      <c r="GJ474" s="64"/>
      <c r="GK474" s="64"/>
      <c r="GL474" s="64"/>
      <c r="GM474" s="64"/>
      <c r="GN474" s="64"/>
      <c r="GO474" s="64"/>
      <c r="GP474" s="64"/>
      <c r="GQ474" s="64"/>
      <c r="GR474" s="64"/>
      <c r="GS474" s="64"/>
      <c r="GT474" s="64"/>
      <c r="GU474" s="64"/>
      <c r="GV474" s="64"/>
      <c r="GW474" s="64"/>
      <c r="GX474" s="64"/>
      <c r="GY474" s="64"/>
      <c r="GZ474" s="64"/>
      <c r="HA474" s="64"/>
      <c r="HB474" s="64"/>
      <c r="HC474" s="64"/>
      <c r="HD474" s="64"/>
      <c r="HE474" s="64"/>
      <c r="HF474" s="64"/>
      <c r="HG474" s="64"/>
      <c r="HH474" s="64"/>
      <c r="HI474" s="64"/>
      <c r="HJ474" s="64"/>
      <c r="HK474" s="64"/>
      <c r="HL474" s="64"/>
      <c r="HM474" s="64"/>
      <c r="HN474" s="64"/>
      <c r="HO474" s="64"/>
      <c r="HP474" s="64"/>
      <c r="HQ474" s="64"/>
      <c r="HR474" s="64"/>
      <c r="HS474" s="64"/>
      <c r="HT474" s="64"/>
      <c r="HU474" s="64"/>
      <c r="HV474" s="64"/>
      <c r="HW474" s="64"/>
      <c r="HX474" s="64"/>
      <c r="HY474" s="64"/>
      <c r="HZ474" s="64"/>
      <c r="IA474" s="64"/>
      <c r="IB474" s="64"/>
      <c r="IC474" s="64"/>
      <c r="ID474" s="64"/>
      <c r="IE474" s="64"/>
      <c r="IF474" s="64"/>
      <c r="IG474" s="64"/>
      <c r="IH474" s="64"/>
      <c r="II474" s="64"/>
      <c r="IJ474" s="64"/>
      <c r="IK474" s="64"/>
      <c r="IL474" s="64"/>
      <c r="IM474" s="64"/>
      <c r="IN474" s="64"/>
      <c r="IO474" s="64"/>
      <c r="IP474" s="64"/>
      <c r="IQ474" s="64"/>
      <c r="IR474" s="64"/>
      <c r="IS474" s="64"/>
      <c r="IT474" s="64"/>
      <c r="IU474" s="64"/>
      <c r="IV474" s="64"/>
      <c r="IW474" s="64"/>
      <c r="IX474" s="64"/>
      <c r="IY474" s="64"/>
      <c r="IZ474" s="64"/>
      <c r="JA474" s="64"/>
      <c r="JB474" s="64"/>
      <c r="JC474" s="64"/>
      <c r="JD474" s="64"/>
      <c r="JE474" s="64"/>
      <c r="JF474" s="64"/>
      <c r="JG474" s="64"/>
      <c r="JH474" s="64"/>
      <c r="JI474" s="64"/>
    </row>
    <row r="475" spans="1:269" s="920" customFormat="1" x14ac:dyDescent="0.2">
      <c r="A475" s="116"/>
      <c r="B475" s="64"/>
      <c r="C475" s="64"/>
      <c r="D475" s="64"/>
      <c r="E475" s="64"/>
      <c r="F475" s="64"/>
      <c r="G475" s="64"/>
      <c r="H475" s="64"/>
      <c r="I475" s="64"/>
      <c r="J475" s="116"/>
      <c r="K475" s="116"/>
      <c r="L475" s="116"/>
      <c r="M475" s="116"/>
      <c r="N475" s="116"/>
      <c r="O475" s="116"/>
      <c r="P475" s="116"/>
      <c r="Q475" s="102"/>
      <c r="R475" s="102"/>
      <c r="S475" s="102"/>
      <c r="T475" s="102"/>
      <c r="U475" s="913"/>
      <c r="V475" s="114"/>
      <c r="W475" s="805"/>
      <c r="X475" s="805"/>
      <c r="Y475" s="805"/>
      <c r="Z475" s="914"/>
      <c r="AA475" s="102"/>
      <c r="AB475" s="102"/>
      <c r="AC475" s="102"/>
      <c r="AD475" s="102"/>
      <c r="AE475" s="102"/>
      <c r="AF475" s="102"/>
      <c r="AG475" s="102"/>
      <c r="AH475" s="102"/>
      <c r="AI475" s="102"/>
      <c r="AJ475" s="906"/>
      <c r="AK475" s="102"/>
      <c r="AL475" s="915"/>
      <c r="AM475" s="915"/>
      <c r="AN475" s="114"/>
      <c r="AO475" s="64"/>
      <c r="AP475" s="64"/>
      <c r="AQ475" s="64"/>
      <c r="AR475" s="916"/>
      <c r="AS475" s="916"/>
      <c r="AT475" s="916"/>
      <c r="AU475" s="917"/>
      <c r="AV475" s="917"/>
      <c r="AW475" s="917"/>
      <c r="AX475" s="918"/>
      <c r="AY475" s="916"/>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917"/>
      <c r="CA475" s="917"/>
      <c r="CB475" s="64"/>
      <c r="CC475" s="919"/>
      <c r="CD475" s="919"/>
      <c r="CE475" s="64"/>
      <c r="CF475" s="528"/>
      <c r="CG475" s="529"/>
      <c r="CH475" s="64"/>
      <c r="CI475" s="64"/>
      <c r="CJ475" s="64"/>
      <c r="CK475" s="64"/>
      <c r="CL475" s="64"/>
      <c r="CM475" s="64"/>
      <c r="CN475" s="64"/>
      <c r="CO475" s="64"/>
      <c r="CP475" s="64"/>
      <c r="CQ475" s="64"/>
      <c r="CR475" s="64"/>
      <c r="CS475" s="64"/>
      <c r="CT475" s="64"/>
      <c r="CU475" s="64"/>
      <c r="CV475" s="64"/>
      <c r="CW475" s="64"/>
      <c r="CX475" s="64"/>
      <c r="CY475" s="1011"/>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c r="FC475" s="64"/>
      <c r="FD475" s="64"/>
      <c r="FE475" s="64"/>
      <c r="FF475" s="64"/>
      <c r="FG475" s="64"/>
      <c r="FH475" s="64"/>
      <c r="FI475" s="64"/>
      <c r="FJ475" s="64"/>
      <c r="FK475" s="64"/>
      <c r="FL475" s="64"/>
      <c r="FM475" s="64"/>
      <c r="FN475" s="64"/>
      <c r="FO475" s="64"/>
      <c r="FP475" s="64"/>
      <c r="FQ475" s="64"/>
      <c r="FR475" s="64"/>
      <c r="FS475" s="64"/>
      <c r="FT475" s="64"/>
      <c r="FU475" s="64"/>
      <c r="FV475" s="64"/>
      <c r="FW475" s="64"/>
      <c r="FX475" s="64"/>
      <c r="FY475" s="64"/>
      <c r="FZ475" s="64"/>
      <c r="GA475" s="64"/>
      <c r="GB475" s="64"/>
      <c r="GC475" s="64"/>
      <c r="GD475" s="64"/>
      <c r="GE475" s="64"/>
      <c r="GF475" s="64"/>
      <c r="GG475" s="64"/>
      <c r="GH475" s="64"/>
      <c r="GI475" s="64"/>
      <c r="GJ475" s="64"/>
      <c r="GK475" s="64"/>
      <c r="GL475" s="64"/>
      <c r="GM475" s="64"/>
      <c r="GN475" s="64"/>
      <c r="GO475" s="64"/>
      <c r="GP475" s="64"/>
      <c r="GQ475" s="64"/>
      <c r="GR475" s="64"/>
      <c r="GS475" s="64"/>
      <c r="GT475" s="64"/>
      <c r="GU475" s="64"/>
      <c r="GV475" s="64"/>
      <c r="GW475" s="64"/>
      <c r="GX475" s="64"/>
      <c r="GY475" s="64"/>
      <c r="GZ475" s="64"/>
      <c r="HA475" s="64"/>
      <c r="HB475" s="64"/>
      <c r="HC475" s="64"/>
      <c r="HD475" s="64"/>
      <c r="HE475" s="64"/>
      <c r="HF475" s="64"/>
      <c r="HG475" s="64"/>
      <c r="HH475" s="64"/>
      <c r="HI475" s="64"/>
      <c r="HJ475" s="64"/>
      <c r="HK475" s="64"/>
      <c r="HL475" s="64"/>
      <c r="HM475" s="64"/>
      <c r="HN475" s="64"/>
      <c r="HO475" s="64"/>
      <c r="HP475" s="64"/>
      <c r="HQ475" s="64"/>
      <c r="HR475" s="64"/>
      <c r="HS475" s="64"/>
      <c r="HT475" s="64"/>
      <c r="HU475" s="64"/>
      <c r="HV475" s="64"/>
      <c r="HW475" s="64"/>
      <c r="HX475" s="64"/>
      <c r="HY475" s="64"/>
      <c r="HZ475" s="64"/>
      <c r="IA475" s="64"/>
      <c r="IB475" s="64"/>
      <c r="IC475" s="64"/>
      <c r="ID475" s="64"/>
      <c r="IE475" s="64"/>
      <c r="IF475" s="64"/>
      <c r="IG475" s="64"/>
      <c r="IH475" s="64"/>
      <c r="II475" s="64"/>
      <c r="IJ475" s="64"/>
      <c r="IK475" s="64"/>
      <c r="IL475" s="64"/>
      <c r="IM475" s="64"/>
      <c r="IN475" s="64"/>
      <c r="IO475" s="64"/>
      <c r="IP475" s="64"/>
      <c r="IQ475" s="64"/>
      <c r="IR475" s="64"/>
      <c r="IS475" s="64"/>
      <c r="IT475" s="64"/>
      <c r="IU475" s="64"/>
      <c r="IV475" s="64"/>
      <c r="IW475" s="64"/>
      <c r="IX475" s="64"/>
      <c r="IY475" s="64"/>
      <c r="IZ475" s="64"/>
      <c r="JA475" s="64"/>
      <c r="JB475" s="64"/>
      <c r="JC475" s="64"/>
      <c r="JD475" s="64"/>
      <c r="JE475" s="64"/>
      <c r="JF475" s="64"/>
      <c r="JG475" s="64"/>
      <c r="JH475" s="64"/>
      <c r="JI475" s="64"/>
    </row>
    <row r="476" spans="1:269" s="920" customFormat="1" x14ac:dyDescent="0.2">
      <c r="A476" s="116"/>
      <c r="B476" s="64"/>
      <c r="C476" s="64"/>
      <c r="D476" s="64"/>
      <c r="E476" s="64"/>
      <c r="F476" s="64"/>
      <c r="G476" s="64"/>
      <c r="H476" s="64"/>
      <c r="I476" s="64"/>
      <c r="J476" s="116"/>
      <c r="K476" s="116"/>
      <c r="L476" s="116"/>
      <c r="M476" s="116"/>
      <c r="N476" s="116"/>
      <c r="O476" s="116"/>
      <c r="P476" s="116"/>
      <c r="Q476" s="102"/>
      <c r="R476" s="102"/>
      <c r="S476" s="102"/>
      <c r="T476" s="102"/>
      <c r="U476" s="913"/>
      <c r="V476" s="114"/>
      <c r="W476" s="805"/>
      <c r="X476" s="805"/>
      <c r="Y476" s="805"/>
      <c r="Z476" s="914"/>
      <c r="AA476" s="102"/>
      <c r="AB476" s="102"/>
      <c r="AC476" s="102"/>
      <c r="AD476" s="102"/>
      <c r="AE476" s="102"/>
      <c r="AF476" s="102"/>
      <c r="AG476" s="102"/>
      <c r="AH476" s="102"/>
      <c r="AI476" s="102"/>
      <c r="AJ476" s="906"/>
      <c r="AK476" s="102"/>
      <c r="AL476" s="915"/>
      <c r="AM476" s="915"/>
      <c r="AN476" s="114"/>
      <c r="AO476" s="64"/>
      <c r="AP476" s="64"/>
      <c r="AQ476" s="64"/>
      <c r="AR476" s="916"/>
      <c r="AS476" s="916"/>
      <c r="AT476" s="916"/>
      <c r="AU476" s="917"/>
      <c r="AV476" s="917"/>
      <c r="AW476" s="917"/>
      <c r="AX476" s="918"/>
      <c r="AY476" s="916"/>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917"/>
      <c r="CA476" s="917"/>
      <c r="CB476" s="64"/>
      <c r="CC476" s="919"/>
      <c r="CD476" s="919"/>
      <c r="CE476" s="64"/>
      <c r="CF476" s="528"/>
      <c r="CG476" s="529"/>
      <c r="CH476" s="64"/>
      <c r="CI476" s="64"/>
      <c r="CJ476" s="64"/>
      <c r="CK476" s="64"/>
      <c r="CL476" s="64"/>
      <c r="CM476" s="64"/>
      <c r="CN476" s="64"/>
      <c r="CO476" s="64"/>
      <c r="CP476" s="64"/>
      <c r="CQ476" s="64"/>
      <c r="CR476" s="64"/>
      <c r="CS476" s="64"/>
      <c r="CT476" s="64"/>
      <c r="CU476" s="64"/>
      <c r="CV476" s="64"/>
      <c r="CW476" s="64"/>
      <c r="CX476" s="64"/>
      <c r="CY476" s="1011"/>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c r="FC476" s="64"/>
      <c r="FD476" s="64"/>
      <c r="FE476" s="64"/>
      <c r="FF476" s="64"/>
      <c r="FG476" s="64"/>
      <c r="FH476" s="64"/>
      <c r="FI476" s="64"/>
      <c r="FJ476" s="64"/>
      <c r="FK476" s="64"/>
      <c r="FL476" s="64"/>
      <c r="FM476" s="64"/>
      <c r="FN476" s="64"/>
      <c r="FO476" s="64"/>
      <c r="FP476" s="64"/>
      <c r="FQ476" s="64"/>
      <c r="FR476" s="64"/>
      <c r="FS476" s="64"/>
      <c r="FT476" s="64"/>
      <c r="FU476" s="64"/>
      <c r="FV476" s="64"/>
      <c r="FW476" s="64"/>
      <c r="FX476" s="64"/>
      <c r="FY476" s="64"/>
      <c r="FZ476" s="64"/>
      <c r="GA476" s="64"/>
      <c r="GB476" s="64"/>
      <c r="GC476" s="64"/>
      <c r="GD476" s="64"/>
      <c r="GE476" s="64"/>
      <c r="GF476" s="64"/>
      <c r="GG476" s="64"/>
      <c r="GH476" s="64"/>
      <c r="GI476" s="64"/>
      <c r="GJ476" s="64"/>
      <c r="GK476" s="64"/>
      <c r="GL476" s="64"/>
      <c r="GM476" s="64"/>
      <c r="GN476" s="64"/>
      <c r="GO476" s="64"/>
      <c r="GP476" s="64"/>
      <c r="GQ476" s="64"/>
      <c r="GR476" s="64"/>
      <c r="GS476" s="64"/>
      <c r="GT476" s="64"/>
      <c r="GU476" s="64"/>
      <c r="GV476" s="64"/>
      <c r="GW476" s="64"/>
      <c r="GX476" s="64"/>
      <c r="GY476" s="64"/>
      <c r="GZ476" s="64"/>
      <c r="HA476" s="64"/>
      <c r="HB476" s="64"/>
      <c r="HC476" s="64"/>
      <c r="HD476" s="64"/>
      <c r="HE476" s="64"/>
      <c r="HF476" s="64"/>
      <c r="HG476" s="64"/>
      <c r="HH476" s="64"/>
      <c r="HI476" s="64"/>
      <c r="HJ476" s="64"/>
      <c r="HK476" s="64"/>
      <c r="HL476" s="64"/>
      <c r="HM476" s="64"/>
      <c r="HN476" s="64"/>
      <c r="HO476" s="64"/>
      <c r="HP476" s="64"/>
      <c r="HQ476" s="64"/>
      <c r="HR476" s="64"/>
      <c r="HS476" s="64"/>
      <c r="HT476" s="64"/>
      <c r="HU476" s="64"/>
      <c r="HV476" s="64"/>
      <c r="HW476" s="64"/>
      <c r="HX476" s="64"/>
      <c r="HY476" s="64"/>
      <c r="HZ476" s="64"/>
      <c r="IA476" s="64"/>
      <c r="IB476" s="64"/>
      <c r="IC476" s="64"/>
      <c r="ID476" s="64"/>
      <c r="IE476" s="64"/>
      <c r="IF476" s="64"/>
      <c r="IG476" s="64"/>
      <c r="IH476" s="64"/>
      <c r="II476" s="64"/>
      <c r="IJ476" s="64"/>
      <c r="IK476" s="64"/>
      <c r="IL476" s="64"/>
      <c r="IM476" s="64"/>
      <c r="IN476" s="64"/>
      <c r="IO476" s="64"/>
      <c r="IP476" s="64"/>
      <c r="IQ476" s="64"/>
      <c r="IR476" s="64"/>
      <c r="IS476" s="64"/>
      <c r="IT476" s="64"/>
      <c r="IU476" s="64"/>
      <c r="IV476" s="64"/>
      <c r="IW476" s="64"/>
      <c r="IX476" s="64"/>
      <c r="IY476" s="64"/>
      <c r="IZ476" s="64"/>
      <c r="JA476" s="64"/>
      <c r="JB476" s="64"/>
      <c r="JC476" s="64"/>
      <c r="JD476" s="64"/>
      <c r="JE476" s="64"/>
      <c r="JF476" s="64"/>
      <c r="JG476" s="64"/>
      <c r="JH476" s="64"/>
      <c r="JI476" s="64"/>
    </row>
    <row r="477" spans="1:269" s="920" customFormat="1" x14ac:dyDescent="0.2">
      <c r="A477" s="116"/>
      <c r="B477" s="64"/>
      <c r="C477" s="64"/>
      <c r="D477" s="64"/>
      <c r="E477" s="64"/>
      <c r="F477" s="64"/>
      <c r="G477" s="64"/>
      <c r="H477" s="64"/>
      <c r="I477" s="64"/>
      <c r="J477" s="116"/>
      <c r="K477" s="116"/>
      <c r="L477" s="116"/>
      <c r="M477" s="116"/>
      <c r="N477" s="116"/>
      <c r="O477" s="116"/>
      <c r="P477" s="116"/>
      <c r="Q477" s="102"/>
      <c r="R477" s="102"/>
      <c r="S477" s="102"/>
      <c r="T477" s="102"/>
      <c r="U477" s="913"/>
      <c r="V477" s="114"/>
      <c r="W477" s="805"/>
      <c r="X477" s="805"/>
      <c r="Y477" s="805"/>
      <c r="Z477" s="914"/>
      <c r="AA477" s="102"/>
      <c r="AB477" s="102"/>
      <c r="AC477" s="102"/>
      <c r="AD477" s="102"/>
      <c r="AE477" s="102"/>
      <c r="AF477" s="102"/>
      <c r="AG477" s="102"/>
      <c r="AH477" s="102"/>
      <c r="AI477" s="102"/>
      <c r="AJ477" s="906"/>
      <c r="AK477" s="102"/>
      <c r="AL477" s="915"/>
      <c r="AM477" s="915"/>
      <c r="AN477" s="114"/>
      <c r="AO477" s="64"/>
      <c r="AP477" s="64"/>
      <c r="AQ477" s="64"/>
      <c r="AR477" s="916"/>
      <c r="AS477" s="916"/>
      <c r="AT477" s="916"/>
      <c r="AU477" s="917"/>
      <c r="AV477" s="917"/>
      <c r="AW477" s="917"/>
      <c r="AX477" s="918"/>
      <c r="AY477" s="916"/>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917"/>
      <c r="CA477" s="917"/>
      <c r="CB477" s="64"/>
      <c r="CC477" s="919"/>
      <c r="CD477" s="919"/>
      <c r="CE477" s="64"/>
      <c r="CF477" s="528"/>
      <c r="CG477" s="529"/>
      <c r="CH477" s="64"/>
      <c r="CI477" s="64"/>
      <c r="CJ477" s="64"/>
      <c r="CK477" s="64"/>
      <c r="CL477" s="64"/>
      <c r="CM477" s="64"/>
      <c r="CN477" s="64"/>
      <c r="CO477" s="64"/>
      <c r="CP477" s="64"/>
      <c r="CQ477" s="64"/>
      <c r="CR477" s="64"/>
      <c r="CS477" s="64"/>
      <c r="CT477" s="64"/>
      <c r="CU477" s="64"/>
      <c r="CV477" s="64"/>
      <c r="CW477" s="64"/>
      <c r="CX477" s="64"/>
      <c r="CY477" s="1011"/>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c r="FC477" s="64"/>
      <c r="FD477" s="64"/>
      <c r="FE477" s="64"/>
      <c r="FF477" s="64"/>
      <c r="FG477" s="64"/>
      <c r="FH477" s="64"/>
      <c r="FI477" s="64"/>
      <c r="FJ477" s="64"/>
      <c r="FK477" s="64"/>
      <c r="FL477" s="64"/>
      <c r="FM477" s="64"/>
      <c r="FN477" s="64"/>
      <c r="FO477" s="64"/>
      <c r="FP477" s="64"/>
      <c r="FQ477" s="64"/>
      <c r="FR477" s="64"/>
      <c r="FS477" s="64"/>
      <c r="FT477" s="64"/>
      <c r="FU477" s="64"/>
      <c r="FV477" s="64"/>
      <c r="FW477" s="64"/>
      <c r="FX477" s="64"/>
      <c r="FY477" s="64"/>
      <c r="FZ477" s="64"/>
      <c r="GA477" s="64"/>
      <c r="GB477" s="64"/>
      <c r="GC477" s="64"/>
      <c r="GD477" s="64"/>
      <c r="GE477" s="64"/>
      <c r="GF477" s="64"/>
      <c r="GG477" s="64"/>
      <c r="GH477" s="64"/>
      <c r="GI477" s="64"/>
      <c r="GJ477" s="64"/>
      <c r="GK477" s="64"/>
      <c r="GL477" s="64"/>
      <c r="GM477" s="64"/>
      <c r="GN477" s="64"/>
      <c r="GO477" s="64"/>
      <c r="GP477" s="64"/>
      <c r="GQ477" s="64"/>
      <c r="GR477" s="64"/>
      <c r="GS477" s="64"/>
      <c r="GT477" s="64"/>
      <c r="GU477" s="64"/>
      <c r="GV477" s="64"/>
      <c r="GW477" s="64"/>
      <c r="GX477" s="64"/>
      <c r="GY477" s="64"/>
      <c r="GZ477" s="64"/>
      <c r="HA477" s="64"/>
      <c r="HB477" s="64"/>
      <c r="HC477" s="64"/>
      <c r="HD477" s="64"/>
      <c r="HE477" s="64"/>
      <c r="HF477" s="64"/>
      <c r="HG477" s="64"/>
      <c r="HH477" s="64"/>
      <c r="HI477" s="64"/>
      <c r="HJ477" s="64"/>
      <c r="HK477" s="64"/>
      <c r="HL477" s="64"/>
      <c r="HM477" s="64"/>
      <c r="HN477" s="64"/>
      <c r="HO477" s="64"/>
      <c r="HP477" s="64"/>
      <c r="HQ477" s="64"/>
      <c r="HR477" s="64"/>
      <c r="HS477" s="64"/>
      <c r="HT477" s="64"/>
      <c r="HU477" s="64"/>
      <c r="HV477" s="64"/>
      <c r="HW477" s="64"/>
      <c r="HX477" s="64"/>
      <c r="HY477" s="64"/>
      <c r="HZ477" s="64"/>
      <c r="IA477" s="64"/>
      <c r="IB477" s="64"/>
      <c r="IC477" s="64"/>
      <c r="ID477" s="64"/>
      <c r="IE477" s="64"/>
      <c r="IF477" s="64"/>
      <c r="IG477" s="64"/>
      <c r="IH477" s="64"/>
      <c r="II477" s="64"/>
      <c r="IJ477" s="64"/>
      <c r="IK477" s="64"/>
      <c r="IL477" s="64"/>
      <c r="IM477" s="64"/>
      <c r="IN477" s="64"/>
      <c r="IO477" s="64"/>
      <c r="IP477" s="64"/>
      <c r="IQ477" s="64"/>
      <c r="IR477" s="64"/>
      <c r="IS477" s="64"/>
      <c r="IT477" s="64"/>
      <c r="IU477" s="64"/>
      <c r="IV477" s="64"/>
      <c r="IW477" s="64"/>
      <c r="IX477" s="64"/>
      <c r="IY477" s="64"/>
      <c r="IZ477" s="64"/>
      <c r="JA477" s="64"/>
      <c r="JB477" s="64"/>
      <c r="JC477" s="64"/>
      <c r="JD477" s="64"/>
      <c r="JE477" s="64"/>
      <c r="JF477" s="64"/>
      <c r="JG477" s="64"/>
      <c r="JH477" s="64"/>
      <c r="JI477" s="64"/>
    </row>
    <row r="478" spans="1:269" s="920" customFormat="1" x14ac:dyDescent="0.2">
      <c r="A478" s="116"/>
      <c r="B478" s="64"/>
      <c r="C478" s="64"/>
      <c r="D478" s="64"/>
      <c r="E478" s="64"/>
      <c r="F478" s="64"/>
      <c r="G478" s="64"/>
      <c r="H478" s="64"/>
      <c r="I478" s="64"/>
      <c r="J478" s="116"/>
      <c r="K478" s="116"/>
      <c r="L478" s="116"/>
      <c r="M478" s="116"/>
      <c r="N478" s="116"/>
      <c r="O478" s="116"/>
      <c r="P478" s="116"/>
      <c r="Q478" s="102"/>
      <c r="R478" s="102"/>
      <c r="S478" s="102"/>
      <c r="T478" s="102"/>
      <c r="U478" s="913"/>
      <c r="V478" s="114"/>
      <c r="W478" s="805"/>
      <c r="X478" s="805"/>
      <c r="Y478" s="805"/>
      <c r="Z478" s="914"/>
      <c r="AA478" s="102"/>
      <c r="AB478" s="102"/>
      <c r="AC478" s="102"/>
      <c r="AD478" s="102"/>
      <c r="AE478" s="102"/>
      <c r="AF478" s="102"/>
      <c r="AG478" s="102"/>
      <c r="AH478" s="102"/>
      <c r="AI478" s="102"/>
      <c r="AJ478" s="906"/>
      <c r="AK478" s="102"/>
      <c r="AL478" s="915"/>
      <c r="AM478" s="915"/>
      <c r="AN478" s="114"/>
      <c r="AO478" s="64"/>
      <c r="AP478" s="64"/>
      <c r="AQ478" s="64"/>
      <c r="AR478" s="916"/>
      <c r="AS478" s="916"/>
      <c r="AT478" s="916"/>
      <c r="AU478" s="917"/>
      <c r="AV478" s="917"/>
      <c r="AW478" s="917"/>
      <c r="AX478" s="918"/>
      <c r="AY478" s="916"/>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917"/>
      <c r="CA478" s="917"/>
      <c r="CB478" s="64"/>
      <c r="CC478" s="919"/>
      <c r="CD478" s="919"/>
      <c r="CE478" s="64"/>
      <c r="CF478" s="528"/>
      <c r="CG478" s="529"/>
      <c r="CH478" s="64"/>
      <c r="CI478" s="64"/>
      <c r="CJ478" s="64"/>
      <c r="CK478" s="64"/>
      <c r="CL478" s="64"/>
      <c r="CM478" s="64"/>
      <c r="CN478" s="64"/>
      <c r="CO478" s="64"/>
      <c r="CP478" s="64"/>
      <c r="CQ478" s="64"/>
      <c r="CR478" s="64"/>
      <c r="CS478" s="64"/>
      <c r="CT478" s="64"/>
      <c r="CU478" s="64"/>
      <c r="CV478" s="64"/>
      <c r="CW478" s="64"/>
      <c r="CX478" s="64"/>
      <c r="CY478" s="1011"/>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c r="FC478" s="64"/>
      <c r="FD478" s="64"/>
      <c r="FE478" s="64"/>
      <c r="FF478" s="64"/>
      <c r="FG478" s="64"/>
      <c r="FH478" s="64"/>
      <c r="FI478" s="64"/>
      <c r="FJ478" s="64"/>
      <c r="FK478" s="64"/>
      <c r="FL478" s="64"/>
      <c r="FM478" s="64"/>
      <c r="FN478" s="64"/>
      <c r="FO478" s="64"/>
      <c r="FP478" s="64"/>
      <c r="FQ478" s="64"/>
      <c r="FR478" s="64"/>
      <c r="FS478" s="64"/>
      <c r="FT478" s="64"/>
      <c r="FU478" s="64"/>
      <c r="FV478" s="64"/>
      <c r="FW478" s="64"/>
      <c r="FX478" s="64"/>
      <c r="FY478" s="64"/>
      <c r="FZ478" s="64"/>
      <c r="GA478" s="64"/>
      <c r="GB478" s="64"/>
      <c r="GC478" s="64"/>
      <c r="GD478" s="64"/>
      <c r="GE478" s="64"/>
      <c r="GF478" s="64"/>
      <c r="GG478" s="64"/>
      <c r="GH478" s="64"/>
      <c r="GI478" s="64"/>
      <c r="GJ478" s="64"/>
      <c r="GK478" s="64"/>
      <c r="GL478" s="64"/>
      <c r="GM478" s="64"/>
      <c r="GN478" s="64"/>
      <c r="GO478" s="64"/>
      <c r="GP478" s="64"/>
      <c r="GQ478" s="64"/>
      <c r="GR478" s="64"/>
      <c r="GS478" s="64"/>
      <c r="GT478" s="64"/>
      <c r="GU478" s="64"/>
      <c r="GV478" s="64"/>
      <c r="GW478" s="64"/>
      <c r="GX478" s="64"/>
      <c r="GY478" s="64"/>
      <c r="GZ478" s="64"/>
      <c r="HA478" s="64"/>
      <c r="HB478" s="64"/>
      <c r="HC478" s="64"/>
      <c r="HD478" s="64"/>
      <c r="HE478" s="64"/>
      <c r="HF478" s="64"/>
      <c r="HG478" s="64"/>
      <c r="HH478" s="64"/>
      <c r="HI478" s="64"/>
      <c r="HJ478" s="64"/>
      <c r="HK478" s="64"/>
      <c r="HL478" s="64"/>
      <c r="HM478" s="64"/>
      <c r="HN478" s="64"/>
      <c r="HO478" s="64"/>
      <c r="HP478" s="64"/>
      <c r="HQ478" s="64"/>
      <c r="HR478" s="64"/>
      <c r="HS478" s="64"/>
      <c r="HT478" s="64"/>
      <c r="HU478" s="64"/>
      <c r="HV478" s="64"/>
      <c r="HW478" s="64"/>
      <c r="HX478" s="64"/>
      <c r="HY478" s="64"/>
      <c r="HZ478" s="64"/>
      <c r="IA478" s="64"/>
      <c r="IB478" s="64"/>
      <c r="IC478" s="64"/>
      <c r="ID478" s="64"/>
      <c r="IE478" s="64"/>
      <c r="IF478" s="64"/>
      <c r="IG478" s="64"/>
      <c r="IH478" s="64"/>
      <c r="II478" s="64"/>
      <c r="IJ478" s="64"/>
      <c r="IK478" s="64"/>
      <c r="IL478" s="64"/>
      <c r="IM478" s="64"/>
      <c r="IN478" s="64"/>
      <c r="IO478" s="64"/>
      <c r="IP478" s="64"/>
      <c r="IQ478" s="64"/>
      <c r="IR478" s="64"/>
      <c r="IS478" s="64"/>
      <c r="IT478" s="64"/>
      <c r="IU478" s="64"/>
      <c r="IV478" s="64"/>
      <c r="IW478" s="64"/>
      <c r="IX478" s="64"/>
      <c r="IY478" s="64"/>
      <c r="IZ478" s="64"/>
      <c r="JA478" s="64"/>
      <c r="JB478" s="64"/>
      <c r="JC478" s="64"/>
      <c r="JD478" s="64"/>
      <c r="JE478" s="64"/>
      <c r="JF478" s="64"/>
      <c r="JG478" s="64"/>
      <c r="JH478" s="64"/>
      <c r="JI478" s="64"/>
    </row>
    <row r="479" spans="1:269" s="920" customFormat="1" x14ac:dyDescent="0.2">
      <c r="A479" s="116"/>
      <c r="B479" s="64"/>
      <c r="C479" s="64"/>
      <c r="D479" s="64"/>
      <c r="E479" s="64"/>
      <c r="F479" s="64"/>
      <c r="G479" s="64"/>
      <c r="H479" s="64"/>
      <c r="I479" s="64"/>
      <c r="J479" s="116"/>
      <c r="K479" s="116"/>
      <c r="L479" s="116"/>
      <c r="M479" s="116"/>
      <c r="N479" s="116"/>
      <c r="O479" s="116"/>
      <c r="P479" s="116"/>
      <c r="Q479" s="102"/>
      <c r="R479" s="102"/>
      <c r="S479" s="102"/>
      <c r="T479" s="102"/>
      <c r="U479" s="913"/>
      <c r="V479" s="114"/>
      <c r="W479" s="805"/>
      <c r="X479" s="805"/>
      <c r="Y479" s="805"/>
      <c r="Z479" s="914"/>
      <c r="AA479" s="102"/>
      <c r="AB479" s="102"/>
      <c r="AC479" s="102"/>
      <c r="AD479" s="102"/>
      <c r="AE479" s="102"/>
      <c r="AF479" s="102"/>
      <c r="AG479" s="102"/>
      <c r="AH479" s="102"/>
      <c r="AI479" s="102"/>
      <c r="AJ479" s="906"/>
      <c r="AK479" s="102"/>
      <c r="AL479" s="915"/>
      <c r="AM479" s="915"/>
      <c r="AN479" s="114"/>
      <c r="AO479" s="64"/>
      <c r="AP479" s="64"/>
      <c r="AQ479" s="64"/>
      <c r="AR479" s="916"/>
      <c r="AS479" s="916"/>
      <c r="AT479" s="916"/>
      <c r="AU479" s="917"/>
      <c r="AV479" s="917"/>
      <c r="AW479" s="917"/>
      <c r="AX479" s="918"/>
      <c r="AY479" s="916"/>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917"/>
      <c r="CA479" s="917"/>
      <c r="CB479" s="64"/>
      <c r="CC479" s="919"/>
      <c r="CD479" s="919"/>
      <c r="CE479" s="64"/>
      <c r="CF479" s="528"/>
      <c r="CG479" s="529"/>
      <c r="CH479" s="64"/>
      <c r="CI479" s="64"/>
      <c r="CJ479" s="64"/>
      <c r="CK479" s="64"/>
      <c r="CL479" s="64"/>
      <c r="CM479" s="64"/>
      <c r="CN479" s="64"/>
      <c r="CO479" s="64"/>
      <c r="CP479" s="64"/>
      <c r="CQ479" s="64"/>
      <c r="CR479" s="64"/>
      <c r="CS479" s="64"/>
      <c r="CT479" s="64"/>
      <c r="CU479" s="64"/>
      <c r="CV479" s="64"/>
      <c r="CW479" s="64"/>
      <c r="CX479" s="64"/>
      <c r="CY479" s="1011"/>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c r="FC479" s="64"/>
      <c r="FD479" s="64"/>
      <c r="FE479" s="64"/>
      <c r="FF479" s="64"/>
      <c r="FG479" s="64"/>
      <c r="FH479" s="64"/>
      <c r="FI479" s="64"/>
      <c r="FJ479" s="64"/>
      <c r="FK479" s="64"/>
      <c r="FL479" s="64"/>
      <c r="FM479" s="64"/>
      <c r="FN479" s="64"/>
      <c r="FO479" s="64"/>
      <c r="FP479" s="64"/>
      <c r="FQ479" s="64"/>
      <c r="FR479" s="64"/>
      <c r="FS479" s="64"/>
      <c r="FT479" s="64"/>
      <c r="FU479" s="64"/>
      <c r="FV479" s="64"/>
      <c r="FW479" s="64"/>
      <c r="FX479" s="64"/>
      <c r="FY479" s="64"/>
      <c r="FZ479" s="64"/>
      <c r="GA479" s="64"/>
      <c r="GB479" s="64"/>
      <c r="GC479" s="64"/>
      <c r="GD479" s="64"/>
      <c r="GE479" s="64"/>
      <c r="GF479" s="64"/>
      <c r="GG479" s="64"/>
      <c r="GH479" s="64"/>
      <c r="GI479" s="64"/>
      <c r="GJ479" s="64"/>
      <c r="GK479" s="64"/>
      <c r="GL479" s="64"/>
      <c r="GM479" s="64"/>
      <c r="GN479" s="64"/>
      <c r="GO479" s="64"/>
      <c r="GP479" s="64"/>
      <c r="GQ479" s="64"/>
      <c r="GR479" s="64"/>
      <c r="GS479" s="64"/>
      <c r="GT479" s="64"/>
      <c r="GU479" s="64"/>
      <c r="GV479" s="64"/>
      <c r="GW479" s="64"/>
      <c r="GX479" s="64"/>
      <c r="GY479" s="64"/>
      <c r="GZ479" s="64"/>
      <c r="HA479" s="64"/>
      <c r="HB479" s="64"/>
      <c r="HC479" s="64"/>
      <c r="HD479" s="64"/>
      <c r="HE479" s="64"/>
      <c r="HF479" s="64"/>
      <c r="HG479" s="64"/>
      <c r="HH479" s="64"/>
      <c r="HI479" s="64"/>
      <c r="HJ479" s="64"/>
      <c r="HK479" s="64"/>
      <c r="HL479" s="64"/>
      <c r="HM479" s="64"/>
      <c r="HN479" s="64"/>
      <c r="HO479" s="64"/>
      <c r="HP479" s="64"/>
      <c r="HQ479" s="64"/>
      <c r="HR479" s="64"/>
      <c r="HS479" s="64"/>
      <c r="HT479" s="64"/>
      <c r="HU479" s="64"/>
      <c r="HV479" s="64"/>
      <c r="HW479" s="64"/>
      <c r="HX479" s="64"/>
      <c r="HY479" s="64"/>
      <c r="HZ479" s="64"/>
      <c r="IA479" s="64"/>
      <c r="IB479" s="64"/>
      <c r="IC479" s="64"/>
      <c r="ID479" s="64"/>
      <c r="IE479" s="64"/>
      <c r="IF479" s="64"/>
      <c r="IG479" s="64"/>
      <c r="IH479" s="64"/>
      <c r="II479" s="64"/>
      <c r="IJ479" s="64"/>
      <c r="IK479" s="64"/>
      <c r="IL479" s="64"/>
      <c r="IM479" s="64"/>
      <c r="IN479" s="64"/>
      <c r="IO479" s="64"/>
      <c r="IP479" s="64"/>
      <c r="IQ479" s="64"/>
      <c r="IR479" s="64"/>
      <c r="IS479" s="64"/>
      <c r="IT479" s="64"/>
      <c r="IU479" s="64"/>
      <c r="IV479" s="64"/>
      <c r="IW479" s="64"/>
      <c r="IX479" s="64"/>
      <c r="IY479" s="64"/>
      <c r="IZ479" s="64"/>
      <c r="JA479" s="64"/>
      <c r="JB479" s="64"/>
      <c r="JC479" s="64"/>
      <c r="JD479" s="64"/>
      <c r="JE479" s="64"/>
      <c r="JF479" s="64"/>
      <c r="JG479" s="64"/>
      <c r="JH479" s="64"/>
      <c r="JI479" s="64"/>
    </row>
    <row r="480" spans="1:269" s="920" customFormat="1" x14ac:dyDescent="0.2">
      <c r="A480" s="116"/>
      <c r="B480" s="64"/>
      <c r="C480" s="64"/>
      <c r="D480" s="64"/>
      <c r="E480" s="64"/>
      <c r="F480" s="64"/>
      <c r="G480" s="64"/>
      <c r="H480" s="64"/>
      <c r="I480" s="64"/>
      <c r="J480" s="116"/>
      <c r="K480" s="116"/>
      <c r="L480" s="116"/>
      <c r="M480" s="116"/>
      <c r="N480" s="116"/>
      <c r="O480" s="116"/>
      <c r="P480" s="116"/>
      <c r="Q480" s="102"/>
      <c r="R480" s="102"/>
      <c r="S480" s="102"/>
      <c r="T480" s="102"/>
      <c r="U480" s="913"/>
      <c r="V480" s="114"/>
      <c r="W480" s="805"/>
      <c r="X480" s="805"/>
      <c r="Y480" s="805"/>
      <c r="Z480" s="914"/>
      <c r="AA480" s="102"/>
      <c r="AB480" s="102"/>
      <c r="AC480" s="102"/>
      <c r="AD480" s="102"/>
      <c r="AE480" s="102"/>
      <c r="AF480" s="102"/>
      <c r="AG480" s="102"/>
      <c r="AH480" s="102"/>
      <c r="AI480" s="102"/>
      <c r="AJ480" s="906"/>
      <c r="AK480" s="102"/>
      <c r="AL480" s="915"/>
      <c r="AM480" s="915"/>
      <c r="AN480" s="114"/>
      <c r="AO480" s="64"/>
      <c r="AP480" s="64"/>
      <c r="AQ480" s="64"/>
      <c r="AR480" s="916"/>
      <c r="AS480" s="916"/>
      <c r="AT480" s="916"/>
      <c r="AU480" s="917"/>
      <c r="AV480" s="917"/>
      <c r="AW480" s="917"/>
      <c r="AX480" s="918"/>
      <c r="AY480" s="916"/>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917"/>
      <c r="CA480" s="917"/>
      <c r="CB480" s="64"/>
      <c r="CC480" s="919"/>
      <c r="CD480" s="919"/>
      <c r="CE480" s="64"/>
      <c r="CF480" s="528"/>
      <c r="CG480" s="529"/>
      <c r="CH480" s="64"/>
      <c r="CI480" s="64"/>
      <c r="CJ480" s="64"/>
      <c r="CK480" s="64"/>
      <c r="CL480" s="64"/>
      <c r="CM480" s="64"/>
      <c r="CN480" s="64"/>
      <c r="CO480" s="64"/>
      <c r="CP480" s="64"/>
      <c r="CQ480" s="64"/>
      <c r="CR480" s="64"/>
      <c r="CS480" s="64"/>
      <c r="CT480" s="64"/>
      <c r="CU480" s="64"/>
      <c r="CV480" s="64"/>
      <c r="CW480" s="64"/>
      <c r="CX480" s="64"/>
      <c r="CY480" s="1011"/>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c r="FC480" s="64"/>
      <c r="FD480" s="64"/>
      <c r="FE480" s="64"/>
      <c r="FF480" s="64"/>
      <c r="FG480" s="64"/>
      <c r="FH480" s="64"/>
      <c r="FI480" s="64"/>
      <c r="FJ480" s="64"/>
      <c r="FK480" s="64"/>
      <c r="FL480" s="64"/>
      <c r="FM480" s="64"/>
      <c r="FN480" s="64"/>
      <c r="FO480" s="64"/>
      <c r="FP480" s="64"/>
      <c r="FQ480" s="64"/>
      <c r="FR480" s="64"/>
      <c r="FS480" s="64"/>
      <c r="FT480" s="64"/>
      <c r="FU480" s="64"/>
      <c r="FV480" s="64"/>
      <c r="FW480" s="64"/>
      <c r="FX480" s="64"/>
      <c r="FY480" s="64"/>
      <c r="FZ480" s="64"/>
      <c r="GA480" s="64"/>
      <c r="GB480" s="64"/>
      <c r="GC480" s="64"/>
      <c r="GD480" s="64"/>
      <c r="GE480" s="64"/>
      <c r="GF480" s="64"/>
      <c r="GG480" s="64"/>
      <c r="GH480" s="64"/>
      <c r="GI480" s="64"/>
      <c r="GJ480" s="64"/>
      <c r="GK480" s="64"/>
      <c r="GL480" s="64"/>
      <c r="GM480" s="64"/>
      <c r="GN480" s="64"/>
      <c r="GO480" s="64"/>
      <c r="GP480" s="64"/>
      <c r="GQ480" s="64"/>
      <c r="GR480" s="64"/>
      <c r="GS480" s="64"/>
      <c r="GT480" s="64"/>
      <c r="GU480" s="64"/>
      <c r="GV480" s="64"/>
      <c r="GW480" s="64"/>
      <c r="GX480" s="64"/>
      <c r="GY480" s="64"/>
      <c r="GZ480" s="64"/>
      <c r="HA480" s="64"/>
      <c r="HB480" s="64"/>
      <c r="HC480" s="64"/>
      <c r="HD480" s="64"/>
      <c r="HE480" s="64"/>
      <c r="HF480" s="64"/>
      <c r="HG480" s="64"/>
      <c r="HH480" s="64"/>
      <c r="HI480" s="64"/>
      <c r="HJ480" s="64"/>
      <c r="HK480" s="64"/>
      <c r="HL480" s="64"/>
      <c r="HM480" s="64"/>
      <c r="HN480" s="64"/>
      <c r="HO480" s="64"/>
      <c r="HP480" s="64"/>
      <c r="HQ480" s="64"/>
      <c r="HR480" s="64"/>
      <c r="HS480" s="64"/>
      <c r="HT480" s="64"/>
      <c r="HU480" s="64"/>
      <c r="HV480" s="64"/>
      <c r="HW480" s="64"/>
      <c r="HX480" s="64"/>
      <c r="HY480" s="64"/>
      <c r="HZ480" s="64"/>
      <c r="IA480" s="64"/>
      <c r="IB480" s="64"/>
      <c r="IC480" s="64"/>
      <c r="ID480" s="64"/>
      <c r="IE480" s="64"/>
      <c r="IF480" s="64"/>
      <c r="IG480" s="64"/>
      <c r="IH480" s="64"/>
      <c r="II480" s="64"/>
      <c r="IJ480" s="64"/>
      <c r="IK480" s="64"/>
      <c r="IL480" s="64"/>
      <c r="IM480" s="64"/>
      <c r="IN480" s="64"/>
      <c r="IO480" s="64"/>
      <c r="IP480" s="64"/>
      <c r="IQ480" s="64"/>
      <c r="IR480" s="64"/>
      <c r="IS480" s="64"/>
      <c r="IT480" s="64"/>
      <c r="IU480" s="64"/>
      <c r="IV480" s="64"/>
      <c r="IW480" s="64"/>
      <c r="IX480" s="64"/>
      <c r="IY480" s="64"/>
      <c r="IZ480" s="64"/>
      <c r="JA480" s="64"/>
      <c r="JB480" s="64"/>
      <c r="JC480" s="64"/>
      <c r="JD480" s="64"/>
      <c r="JE480" s="64"/>
      <c r="JF480" s="64"/>
      <c r="JG480" s="64"/>
      <c r="JH480" s="64"/>
      <c r="JI480" s="64"/>
    </row>
    <row r="481" spans="1:269" s="920" customFormat="1" x14ac:dyDescent="0.2">
      <c r="A481" s="116"/>
      <c r="B481" s="64"/>
      <c r="C481" s="64"/>
      <c r="D481" s="64"/>
      <c r="E481" s="64"/>
      <c r="F481" s="64"/>
      <c r="G481" s="64"/>
      <c r="H481" s="64"/>
      <c r="I481" s="64"/>
      <c r="J481" s="116"/>
      <c r="K481" s="116"/>
      <c r="L481" s="116"/>
      <c r="M481" s="116"/>
      <c r="N481" s="116"/>
      <c r="O481" s="116"/>
      <c r="P481" s="116"/>
      <c r="Q481" s="102"/>
      <c r="R481" s="102"/>
      <c r="S481" s="102"/>
      <c r="T481" s="102"/>
      <c r="U481" s="913"/>
      <c r="V481" s="114"/>
      <c r="W481" s="805"/>
      <c r="X481" s="805"/>
      <c r="Y481" s="805"/>
      <c r="Z481" s="914"/>
      <c r="AA481" s="102"/>
      <c r="AB481" s="102"/>
      <c r="AC481" s="102"/>
      <c r="AD481" s="102"/>
      <c r="AE481" s="102"/>
      <c r="AF481" s="102"/>
      <c r="AG481" s="102"/>
      <c r="AH481" s="102"/>
      <c r="AI481" s="102"/>
      <c r="AJ481" s="906"/>
      <c r="AK481" s="102"/>
      <c r="AL481" s="915"/>
      <c r="AM481" s="915"/>
      <c r="AN481" s="114"/>
      <c r="AO481" s="64"/>
      <c r="AP481" s="64"/>
      <c r="AQ481" s="64"/>
      <c r="AR481" s="916"/>
      <c r="AS481" s="916"/>
      <c r="AT481" s="916"/>
      <c r="AU481" s="917"/>
      <c r="AV481" s="917"/>
      <c r="AW481" s="917"/>
      <c r="AX481" s="918"/>
      <c r="AY481" s="916"/>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917"/>
      <c r="CA481" s="917"/>
      <c r="CB481" s="64"/>
      <c r="CC481" s="919"/>
      <c r="CD481" s="919"/>
      <c r="CE481" s="64"/>
      <c r="CF481" s="528"/>
      <c r="CG481" s="529"/>
      <c r="CH481" s="64"/>
      <c r="CI481" s="64"/>
      <c r="CJ481" s="64"/>
      <c r="CK481" s="64"/>
      <c r="CL481" s="64"/>
      <c r="CM481" s="64"/>
      <c r="CN481" s="64"/>
      <c r="CO481" s="64"/>
      <c r="CP481" s="64"/>
      <c r="CQ481" s="64"/>
      <c r="CR481" s="64"/>
      <c r="CS481" s="64"/>
      <c r="CT481" s="64"/>
      <c r="CU481" s="64"/>
      <c r="CV481" s="64"/>
      <c r="CW481" s="64"/>
      <c r="CX481" s="64"/>
      <c r="CY481" s="1011"/>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c r="FC481" s="64"/>
      <c r="FD481" s="64"/>
      <c r="FE481" s="64"/>
      <c r="FF481" s="64"/>
      <c r="FG481" s="64"/>
      <c r="FH481" s="64"/>
      <c r="FI481" s="64"/>
      <c r="FJ481" s="64"/>
      <c r="FK481" s="64"/>
      <c r="FL481" s="64"/>
      <c r="FM481" s="64"/>
      <c r="FN481" s="64"/>
      <c r="FO481" s="64"/>
      <c r="FP481" s="64"/>
      <c r="FQ481" s="64"/>
      <c r="FR481" s="64"/>
      <c r="FS481" s="64"/>
      <c r="FT481" s="64"/>
      <c r="FU481" s="64"/>
      <c r="FV481" s="64"/>
      <c r="FW481" s="64"/>
      <c r="FX481" s="64"/>
      <c r="FY481" s="64"/>
      <c r="FZ481" s="64"/>
      <c r="GA481" s="64"/>
      <c r="GB481" s="64"/>
      <c r="GC481" s="64"/>
      <c r="GD481" s="64"/>
      <c r="GE481" s="64"/>
      <c r="GF481" s="64"/>
      <c r="GG481" s="64"/>
      <c r="GH481" s="64"/>
      <c r="GI481" s="64"/>
      <c r="GJ481" s="64"/>
      <c r="GK481" s="64"/>
      <c r="GL481" s="64"/>
      <c r="GM481" s="64"/>
      <c r="GN481" s="64"/>
      <c r="GO481" s="64"/>
      <c r="GP481" s="64"/>
      <c r="GQ481" s="64"/>
      <c r="GR481" s="64"/>
      <c r="GS481" s="64"/>
      <c r="GT481" s="64"/>
      <c r="GU481" s="64"/>
      <c r="GV481" s="64"/>
      <c r="GW481" s="64"/>
      <c r="GX481" s="64"/>
      <c r="GY481" s="64"/>
      <c r="GZ481" s="64"/>
      <c r="HA481" s="64"/>
      <c r="HB481" s="64"/>
      <c r="HC481" s="64"/>
      <c r="HD481" s="64"/>
      <c r="HE481" s="64"/>
      <c r="HF481" s="64"/>
      <c r="HG481" s="64"/>
      <c r="HH481" s="64"/>
      <c r="HI481" s="64"/>
      <c r="HJ481" s="64"/>
      <c r="HK481" s="64"/>
      <c r="HL481" s="64"/>
      <c r="HM481" s="64"/>
      <c r="HN481" s="64"/>
      <c r="HO481" s="64"/>
      <c r="HP481" s="64"/>
      <c r="HQ481" s="64"/>
      <c r="HR481" s="64"/>
      <c r="HS481" s="64"/>
      <c r="HT481" s="64"/>
      <c r="HU481" s="64"/>
      <c r="HV481" s="64"/>
      <c r="HW481" s="64"/>
      <c r="HX481" s="64"/>
      <c r="HY481" s="64"/>
      <c r="HZ481" s="64"/>
      <c r="IA481" s="64"/>
      <c r="IB481" s="64"/>
      <c r="IC481" s="64"/>
      <c r="ID481" s="64"/>
      <c r="IE481" s="64"/>
      <c r="IF481" s="64"/>
      <c r="IG481" s="64"/>
      <c r="IH481" s="64"/>
      <c r="II481" s="64"/>
      <c r="IJ481" s="64"/>
      <c r="IK481" s="64"/>
      <c r="IL481" s="64"/>
      <c r="IM481" s="64"/>
      <c r="IN481" s="64"/>
      <c r="IO481" s="64"/>
      <c r="IP481" s="64"/>
      <c r="IQ481" s="64"/>
      <c r="IR481" s="64"/>
      <c r="IS481" s="64"/>
      <c r="IT481" s="64"/>
      <c r="IU481" s="64"/>
      <c r="IV481" s="64"/>
      <c r="IW481" s="64"/>
      <c r="IX481" s="64"/>
      <c r="IY481" s="64"/>
      <c r="IZ481" s="64"/>
      <c r="JA481" s="64"/>
      <c r="JB481" s="64"/>
      <c r="JC481" s="64"/>
      <c r="JD481" s="64"/>
      <c r="JE481" s="64"/>
      <c r="JF481" s="64"/>
      <c r="JG481" s="64"/>
      <c r="JH481" s="64"/>
      <c r="JI481" s="64"/>
    </row>
    <row r="482" spans="1:269" s="920" customFormat="1" x14ac:dyDescent="0.2">
      <c r="A482" s="116"/>
      <c r="B482" s="64"/>
      <c r="C482" s="64"/>
      <c r="D482" s="64"/>
      <c r="E482" s="64"/>
      <c r="F482" s="64"/>
      <c r="G482" s="64"/>
      <c r="H482" s="64"/>
      <c r="I482" s="64"/>
      <c r="J482" s="116"/>
      <c r="K482" s="116"/>
      <c r="L482" s="116"/>
      <c r="M482" s="116"/>
      <c r="N482" s="116"/>
      <c r="O482" s="116"/>
      <c r="P482" s="116"/>
      <c r="Q482" s="102"/>
      <c r="R482" s="102"/>
      <c r="S482" s="102"/>
      <c r="T482" s="102"/>
      <c r="U482" s="913"/>
      <c r="V482" s="114"/>
      <c r="W482" s="805"/>
      <c r="X482" s="805"/>
      <c r="Y482" s="805"/>
      <c r="Z482" s="914"/>
      <c r="AA482" s="102"/>
      <c r="AB482" s="102"/>
      <c r="AC482" s="102"/>
      <c r="AD482" s="102"/>
      <c r="AE482" s="102"/>
      <c r="AF482" s="102"/>
      <c r="AG482" s="102"/>
      <c r="AH482" s="102"/>
      <c r="AI482" s="102"/>
      <c r="AJ482" s="906"/>
      <c r="AK482" s="102"/>
      <c r="AL482" s="915"/>
      <c r="AM482" s="915"/>
      <c r="AN482" s="114"/>
      <c r="AO482" s="64"/>
      <c r="AP482" s="64"/>
      <c r="AQ482" s="64"/>
      <c r="AR482" s="916"/>
      <c r="AS482" s="916"/>
      <c r="AT482" s="916"/>
      <c r="AU482" s="917"/>
      <c r="AV482" s="917"/>
      <c r="AW482" s="917"/>
      <c r="AX482" s="918"/>
      <c r="AY482" s="916"/>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917"/>
      <c r="CA482" s="917"/>
      <c r="CB482" s="64"/>
      <c r="CC482" s="919"/>
      <c r="CD482" s="919"/>
      <c r="CE482" s="64"/>
      <c r="CF482" s="528"/>
      <c r="CG482" s="529"/>
      <c r="CH482" s="64"/>
      <c r="CI482" s="64"/>
      <c r="CJ482" s="64"/>
      <c r="CK482" s="64"/>
      <c r="CL482" s="64"/>
      <c r="CM482" s="64"/>
      <c r="CN482" s="64"/>
      <c r="CO482" s="64"/>
      <c r="CP482" s="64"/>
      <c r="CQ482" s="64"/>
      <c r="CR482" s="64"/>
      <c r="CS482" s="64"/>
      <c r="CT482" s="64"/>
      <c r="CU482" s="64"/>
      <c r="CV482" s="64"/>
      <c r="CW482" s="64"/>
      <c r="CX482" s="64"/>
      <c r="CY482" s="1011"/>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c r="FC482" s="64"/>
      <c r="FD482" s="64"/>
      <c r="FE482" s="64"/>
      <c r="FF482" s="64"/>
      <c r="FG482" s="64"/>
      <c r="FH482" s="64"/>
      <c r="FI482" s="64"/>
      <c r="FJ482" s="64"/>
      <c r="FK482" s="64"/>
      <c r="FL482" s="64"/>
      <c r="FM482" s="64"/>
      <c r="FN482" s="64"/>
      <c r="FO482" s="64"/>
      <c r="FP482" s="64"/>
      <c r="FQ482" s="64"/>
      <c r="FR482" s="64"/>
      <c r="FS482" s="64"/>
      <c r="FT482" s="64"/>
      <c r="FU482" s="64"/>
      <c r="FV482" s="64"/>
      <c r="FW482" s="64"/>
      <c r="FX482" s="64"/>
      <c r="FY482" s="64"/>
      <c r="FZ482" s="64"/>
      <c r="GA482" s="64"/>
      <c r="GB482" s="64"/>
      <c r="GC482" s="64"/>
      <c r="GD482" s="64"/>
      <c r="GE482" s="64"/>
      <c r="GF482" s="64"/>
      <c r="GG482" s="64"/>
      <c r="GH482" s="64"/>
      <c r="GI482" s="64"/>
      <c r="GJ482" s="64"/>
      <c r="GK482" s="64"/>
      <c r="GL482" s="64"/>
      <c r="GM482" s="64"/>
      <c r="GN482" s="64"/>
      <c r="GO482" s="64"/>
      <c r="GP482" s="64"/>
      <c r="GQ482" s="64"/>
      <c r="GR482" s="64"/>
      <c r="GS482" s="64"/>
      <c r="GT482" s="64"/>
      <c r="GU482" s="64"/>
      <c r="GV482" s="64"/>
      <c r="GW482" s="64"/>
      <c r="GX482" s="64"/>
      <c r="GY482" s="64"/>
      <c r="GZ482" s="64"/>
      <c r="HA482" s="64"/>
      <c r="HB482" s="64"/>
      <c r="HC482" s="64"/>
      <c r="HD482" s="64"/>
      <c r="HE482" s="64"/>
      <c r="HF482" s="64"/>
      <c r="HG482" s="64"/>
      <c r="HH482" s="64"/>
      <c r="HI482" s="64"/>
      <c r="HJ482" s="64"/>
      <c r="HK482" s="64"/>
      <c r="HL482" s="64"/>
      <c r="HM482" s="64"/>
      <c r="HN482" s="64"/>
      <c r="HO482" s="64"/>
      <c r="HP482" s="64"/>
      <c r="HQ482" s="64"/>
      <c r="HR482" s="64"/>
      <c r="HS482" s="64"/>
      <c r="HT482" s="64"/>
      <c r="HU482" s="64"/>
      <c r="HV482" s="64"/>
      <c r="HW482" s="64"/>
      <c r="HX482" s="64"/>
      <c r="HY482" s="64"/>
      <c r="HZ482" s="64"/>
      <c r="IA482" s="64"/>
      <c r="IB482" s="64"/>
      <c r="IC482" s="64"/>
      <c r="ID482" s="64"/>
      <c r="IE482" s="64"/>
      <c r="IF482" s="64"/>
      <c r="IG482" s="64"/>
      <c r="IH482" s="64"/>
      <c r="II482" s="64"/>
      <c r="IJ482" s="64"/>
      <c r="IK482" s="64"/>
      <c r="IL482" s="64"/>
      <c r="IM482" s="64"/>
      <c r="IN482" s="64"/>
      <c r="IO482" s="64"/>
      <c r="IP482" s="64"/>
      <c r="IQ482" s="64"/>
      <c r="IR482" s="64"/>
      <c r="IS482" s="64"/>
      <c r="IT482" s="64"/>
      <c r="IU482" s="64"/>
      <c r="IV482" s="64"/>
      <c r="IW482" s="64"/>
      <c r="IX482" s="64"/>
      <c r="IY482" s="64"/>
      <c r="IZ482" s="64"/>
      <c r="JA482" s="64"/>
      <c r="JB482" s="64"/>
      <c r="JC482" s="64"/>
      <c r="JD482" s="64"/>
      <c r="JE482" s="64"/>
      <c r="JF482" s="64"/>
      <c r="JG482" s="64"/>
      <c r="JH482" s="64"/>
      <c r="JI482" s="64"/>
    </row>
    <row r="483" spans="1:269" s="920" customFormat="1" x14ac:dyDescent="0.2">
      <c r="A483" s="116"/>
      <c r="B483" s="64"/>
      <c r="C483" s="64"/>
      <c r="D483" s="64"/>
      <c r="E483" s="64"/>
      <c r="F483" s="64"/>
      <c r="G483" s="64"/>
      <c r="H483" s="64"/>
      <c r="I483" s="64"/>
      <c r="J483" s="116"/>
      <c r="K483" s="116"/>
      <c r="L483" s="116"/>
      <c r="M483" s="116"/>
      <c r="N483" s="116"/>
      <c r="O483" s="116"/>
      <c r="P483" s="116"/>
      <c r="Q483" s="102"/>
      <c r="R483" s="102"/>
      <c r="S483" s="102"/>
      <c r="T483" s="102"/>
      <c r="U483" s="913"/>
      <c r="V483" s="114"/>
      <c r="W483" s="805"/>
      <c r="X483" s="805"/>
      <c r="Y483" s="805"/>
      <c r="Z483" s="914"/>
      <c r="AA483" s="102"/>
      <c r="AB483" s="102"/>
      <c r="AC483" s="102"/>
      <c r="AD483" s="102"/>
      <c r="AE483" s="102"/>
      <c r="AF483" s="102"/>
      <c r="AG483" s="102"/>
      <c r="AH483" s="102"/>
      <c r="AI483" s="102"/>
      <c r="AJ483" s="906"/>
      <c r="AK483" s="102"/>
      <c r="AL483" s="915"/>
      <c r="AM483" s="915"/>
      <c r="AN483" s="114"/>
      <c r="AO483" s="64"/>
      <c r="AP483" s="64"/>
      <c r="AQ483" s="64"/>
      <c r="AR483" s="916"/>
      <c r="AS483" s="916"/>
      <c r="AT483" s="916"/>
      <c r="AU483" s="917"/>
      <c r="AV483" s="917"/>
      <c r="AW483" s="917"/>
      <c r="AX483" s="918"/>
      <c r="AY483" s="916"/>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917"/>
      <c r="CA483" s="917"/>
      <c r="CB483" s="64"/>
      <c r="CC483" s="919"/>
      <c r="CD483" s="919"/>
      <c r="CE483" s="64"/>
      <c r="CF483" s="528"/>
      <c r="CG483" s="529"/>
      <c r="CH483" s="64"/>
      <c r="CI483" s="64"/>
      <c r="CJ483" s="64"/>
      <c r="CK483" s="64"/>
      <c r="CL483" s="64"/>
      <c r="CM483" s="64"/>
      <c r="CN483" s="64"/>
      <c r="CO483" s="64"/>
      <c r="CP483" s="64"/>
      <c r="CQ483" s="64"/>
      <c r="CR483" s="64"/>
      <c r="CS483" s="64"/>
      <c r="CT483" s="64"/>
      <c r="CU483" s="64"/>
      <c r="CV483" s="64"/>
      <c r="CW483" s="64"/>
      <c r="CX483" s="64"/>
      <c r="CY483" s="1011"/>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c r="FC483" s="64"/>
      <c r="FD483" s="64"/>
      <c r="FE483" s="64"/>
      <c r="FF483" s="64"/>
      <c r="FG483" s="64"/>
      <c r="FH483" s="64"/>
      <c r="FI483" s="64"/>
      <c r="FJ483" s="64"/>
      <c r="FK483" s="64"/>
      <c r="FL483" s="64"/>
      <c r="FM483" s="64"/>
      <c r="FN483" s="64"/>
      <c r="FO483" s="64"/>
      <c r="FP483" s="64"/>
      <c r="FQ483" s="64"/>
      <c r="FR483" s="64"/>
      <c r="FS483" s="64"/>
      <c r="FT483" s="64"/>
      <c r="FU483" s="64"/>
      <c r="FV483" s="64"/>
      <c r="FW483" s="64"/>
      <c r="FX483" s="64"/>
      <c r="FY483" s="64"/>
      <c r="FZ483" s="64"/>
      <c r="GA483" s="64"/>
      <c r="GB483" s="64"/>
      <c r="GC483" s="64"/>
      <c r="GD483" s="64"/>
      <c r="GE483" s="64"/>
      <c r="GF483" s="64"/>
      <c r="GG483" s="64"/>
      <c r="GH483" s="64"/>
      <c r="GI483" s="64"/>
      <c r="GJ483" s="64"/>
      <c r="GK483" s="64"/>
      <c r="GL483" s="64"/>
      <c r="GM483" s="64"/>
      <c r="GN483" s="64"/>
      <c r="GO483" s="64"/>
      <c r="GP483" s="64"/>
      <c r="GQ483" s="64"/>
      <c r="GR483" s="64"/>
      <c r="GS483" s="64"/>
      <c r="GT483" s="64"/>
      <c r="GU483" s="64"/>
      <c r="GV483" s="64"/>
      <c r="GW483" s="64"/>
      <c r="GX483" s="64"/>
      <c r="GY483" s="64"/>
      <c r="GZ483" s="64"/>
      <c r="HA483" s="64"/>
      <c r="HB483" s="64"/>
      <c r="HC483" s="64"/>
      <c r="HD483" s="64"/>
      <c r="HE483" s="64"/>
      <c r="HF483" s="64"/>
      <c r="HG483" s="64"/>
      <c r="HH483" s="64"/>
      <c r="HI483" s="64"/>
      <c r="HJ483" s="64"/>
      <c r="HK483" s="64"/>
      <c r="HL483" s="64"/>
      <c r="HM483" s="64"/>
      <c r="HN483" s="64"/>
      <c r="HO483" s="64"/>
      <c r="HP483" s="64"/>
      <c r="HQ483" s="64"/>
      <c r="HR483" s="64"/>
      <c r="HS483" s="64"/>
      <c r="HT483" s="64"/>
      <c r="HU483" s="64"/>
      <c r="HV483" s="64"/>
      <c r="HW483" s="64"/>
      <c r="HX483" s="64"/>
      <c r="HY483" s="64"/>
      <c r="HZ483" s="64"/>
      <c r="IA483" s="64"/>
      <c r="IB483" s="64"/>
      <c r="IC483" s="64"/>
      <c r="ID483" s="64"/>
      <c r="IE483" s="64"/>
      <c r="IF483" s="64"/>
      <c r="IG483" s="64"/>
      <c r="IH483" s="64"/>
      <c r="II483" s="64"/>
      <c r="IJ483" s="64"/>
      <c r="IK483" s="64"/>
      <c r="IL483" s="64"/>
      <c r="IM483" s="64"/>
      <c r="IN483" s="64"/>
      <c r="IO483" s="64"/>
      <c r="IP483" s="64"/>
      <c r="IQ483" s="64"/>
      <c r="IR483" s="64"/>
      <c r="IS483" s="64"/>
      <c r="IT483" s="64"/>
      <c r="IU483" s="64"/>
      <c r="IV483" s="64"/>
      <c r="IW483" s="64"/>
      <c r="IX483" s="64"/>
      <c r="IY483" s="64"/>
      <c r="IZ483" s="64"/>
      <c r="JA483" s="64"/>
      <c r="JB483" s="64"/>
      <c r="JC483" s="64"/>
      <c r="JD483" s="64"/>
      <c r="JE483" s="64"/>
      <c r="JF483" s="64"/>
      <c r="JG483" s="64"/>
      <c r="JH483" s="64"/>
      <c r="JI483" s="64"/>
    </row>
    <row r="484" spans="1:269" s="920" customFormat="1" x14ac:dyDescent="0.2">
      <c r="A484" s="116"/>
      <c r="B484" s="64"/>
      <c r="C484" s="64"/>
      <c r="D484" s="64"/>
      <c r="E484" s="64"/>
      <c r="F484" s="64"/>
      <c r="G484" s="64"/>
      <c r="H484" s="64"/>
      <c r="I484" s="64"/>
      <c r="J484" s="116"/>
      <c r="K484" s="116"/>
      <c r="L484" s="116"/>
      <c r="M484" s="116"/>
      <c r="N484" s="116"/>
      <c r="O484" s="116"/>
      <c r="P484" s="116"/>
      <c r="Q484" s="102"/>
      <c r="R484" s="102"/>
      <c r="S484" s="102"/>
      <c r="T484" s="102"/>
      <c r="U484" s="913"/>
      <c r="V484" s="114"/>
      <c r="W484" s="805"/>
      <c r="X484" s="805"/>
      <c r="Y484" s="805"/>
      <c r="Z484" s="914"/>
      <c r="AA484" s="102"/>
      <c r="AB484" s="102"/>
      <c r="AC484" s="102"/>
      <c r="AD484" s="102"/>
      <c r="AE484" s="102"/>
      <c r="AF484" s="102"/>
      <c r="AG484" s="102"/>
      <c r="AH484" s="102"/>
      <c r="AI484" s="102"/>
      <c r="AJ484" s="906"/>
      <c r="AK484" s="102"/>
      <c r="AL484" s="915"/>
      <c r="AM484" s="915"/>
      <c r="AN484" s="114"/>
      <c r="AO484" s="64"/>
      <c r="AP484" s="64"/>
      <c r="AQ484" s="64"/>
      <c r="AR484" s="916"/>
      <c r="AS484" s="916"/>
      <c r="AT484" s="916"/>
      <c r="AU484" s="917"/>
      <c r="AV484" s="917"/>
      <c r="AW484" s="917"/>
      <c r="AX484" s="918"/>
      <c r="AY484" s="916"/>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917"/>
      <c r="CA484" s="917"/>
      <c r="CB484" s="64"/>
      <c r="CC484" s="919"/>
      <c r="CD484" s="919"/>
      <c r="CE484" s="64"/>
      <c r="CF484" s="528"/>
      <c r="CG484" s="529"/>
      <c r="CH484" s="64"/>
      <c r="CI484" s="64"/>
      <c r="CJ484" s="64"/>
      <c r="CK484" s="64"/>
      <c r="CL484" s="64"/>
      <c r="CM484" s="64"/>
      <c r="CN484" s="64"/>
      <c r="CO484" s="64"/>
      <c r="CP484" s="64"/>
      <c r="CQ484" s="64"/>
      <c r="CR484" s="64"/>
      <c r="CS484" s="64"/>
      <c r="CT484" s="64"/>
      <c r="CU484" s="64"/>
      <c r="CV484" s="64"/>
      <c r="CW484" s="64"/>
      <c r="CX484" s="64"/>
      <c r="CY484" s="1011"/>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c r="FC484" s="64"/>
      <c r="FD484" s="64"/>
      <c r="FE484" s="64"/>
      <c r="FF484" s="64"/>
      <c r="FG484" s="64"/>
      <c r="FH484" s="64"/>
      <c r="FI484" s="64"/>
      <c r="FJ484" s="64"/>
      <c r="FK484" s="64"/>
      <c r="FL484" s="64"/>
      <c r="FM484" s="64"/>
      <c r="FN484" s="64"/>
      <c r="FO484" s="64"/>
      <c r="FP484" s="64"/>
      <c r="FQ484" s="64"/>
      <c r="FR484" s="64"/>
      <c r="FS484" s="64"/>
      <c r="FT484" s="64"/>
      <c r="FU484" s="64"/>
      <c r="FV484" s="64"/>
      <c r="FW484" s="64"/>
      <c r="FX484" s="64"/>
      <c r="FY484" s="64"/>
      <c r="FZ484" s="64"/>
      <c r="GA484" s="64"/>
      <c r="GB484" s="64"/>
      <c r="GC484" s="64"/>
      <c r="GD484" s="64"/>
      <c r="GE484" s="64"/>
      <c r="GF484" s="64"/>
      <c r="GG484" s="64"/>
      <c r="GH484" s="64"/>
      <c r="GI484" s="64"/>
      <c r="GJ484" s="64"/>
      <c r="GK484" s="64"/>
      <c r="GL484" s="64"/>
      <c r="GM484" s="64"/>
      <c r="GN484" s="64"/>
      <c r="GO484" s="64"/>
      <c r="GP484" s="64"/>
      <c r="GQ484" s="64"/>
      <c r="GR484" s="64"/>
      <c r="GS484" s="64"/>
      <c r="GT484" s="64"/>
      <c r="GU484" s="64"/>
      <c r="GV484" s="64"/>
      <c r="GW484" s="64"/>
      <c r="GX484" s="64"/>
      <c r="GY484" s="64"/>
      <c r="GZ484" s="64"/>
      <c r="HA484" s="64"/>
      <c r="HB484" s="64"/>
      <c r="HC484" s="64"/>
      <c r="HD484" s="64"/>
      <c r="HE484" s="64"/>
      <c r="HF484" s="64"/>
      <c r="HG484" s="64"/>
      <c r="HH484" s="64"/>
      <c r="HI484" s="64"/>
      <c r="HJ484" s="64"/>
      <c r="HK484" s="64"/>
      <c r="HL484" s="64"/>
      <c r="HM484" s="64"/>
      <c r="HN484" s="64"/>
      <c r="HO484" s="64"/>
      <c r="HP484" s="64"/>
      <c r="HQ484" s="64"/>
      <c r="HR484" s="64"/>
      <c r="HS484" s="64"/>
      <c r="HT484" s="64"/>
      <c r="HU484" s="64"/>
      <c r="HV484" s="64"/>
      <c r="HW484" s="64"/>
      <c r="HX484" s="64"/>
      <c r="HY484" s="64"/>
      <c r="HZ484" s="64"/>
      <c r="IA484" s="64"/>
      <c r="IB484" s="64"/>
      <c r="IC484" s="64"/>
      <c r="ID484" s="64"/>
      <c r="IE484" s="64"/>
      <c r="IF484" s="64"/>
      <c r="IG484" s="64"/>
      <c r="IH484" s="64"/>
      <c r="II484" s="64"/>
      <c r="IJ484" s="64"/>
      <c r="IK484" s="64"/>
      <c r="IL484" s="64"/>
      <c r="IM484" s="64"/>
      <c r="IN484" s="64"/>
      <c r="IO484" s="64"/>
      <c r="IP484" s="64"/>
      <c r="IQ484" s="64"/>
      <c r="IR484" s="64"/>
      <c r="IS484" s="64"/>
      <c r="IT484" s="64"/>
      <c r="IU484" s="64"/>
      <c r="IV484" s="64"/>
      <c r="IW484" s="64"/>
      <c r="IX484" s="64"/>
      <c r="IY484" s="64"/>
      <c r="IZ484" s="64"/>
      <c r="JA484" s="64"/>
      <c r="JB484" s="64"/>
      <c r="JC484" s="64"/>
      <c r="JD484" s="64"/>
      <c r="JE484" s="64"/>
      <c r="JF484" s="64"/>
      <c r="JG484" s="64"/>
      <c r="JH484" s="64"/>
      <c r="JI484" s="64"/>
    </row>
    <row r="485" spans="1:269" s="920" customFormat="1" x14ac:dyDescent="0.2">
      <c r="A485" s="116"/>
      <c r="B485" s="64"/>
      <c r="C485" s="64"/>
      <c r="D485" s="64"/>
      <c r="E485" s="64"/>
      <c r="F485" s="64"/>
      <c r="G485" s="64"/>
      <c r="H485" s="64"/>
      <c r="I485" s="64"/>
      <c r="J485" s="116"/>
      <c r="K485" s="116"/>
      <c r="L485" s="116"/>
      <c r="M485" s="116"/>
      <c r="N485" s="116"/>
      <c r="O485" s="116"/>
      <c r="P485" s="116"/>
      <c r="Q485" s="102"/>
      <c r="R485" s="102"/>
      <c r="S485" s="102"/>
      <c r="T485" s="102"/>
      <c r="U485" s="913"/>
      <c r="V485" s="114"/>
      <c r="W485" s="805"/>
      <c r="X485" s="805"/>
      <c r="Y485" s="805"/>
      <c r="Z485" s="914"/>
      <c r="AA485" s="102"/>
      <c r="AB485" s="102"/>
      <c r="AC485" s="102"/>
      <c r="AD485" s="102"/>
      <c r="AE485" s="102"/>
      <c r="AF485" s="102"/>
      <c r="AG485" s="102"/>
      <c r="AH485" s="102"/>
      <c r="AI485" s="102"/>
      <c r="AJ485" s="906"/>
      <c r="AK485" s="102"/>
      <c r="AL485" s="915"/>
      <c r="AM485" s="915"/>
      <c r="AN485" s="114"/>
      <c r="AO485" s="64"/>
      <c r="AP485" s="64"/>
      <c r="AQ485" s="64"/>
      <c r="AR485" s="916"/>
      <c r="AS485" s="916"/>
      <c r="AT485" s="916"/>
      <c r="AU485" s="917"/>
      <c r="AV485" s="917"/>
      <c r="AW485" s="917"/>
      <c r="AX485" s="918"/>
      <c r="AY485" s="916"/>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917"/>
      <c r="CA485" s="917"/>
      <c r="CB485" s="64"/>
      <c r="CC485" s="919"/>
      <c r="CD485" s="919"/>
      <c r="CE485" s="64"/>
      <c r="CF485" s="528"/>
      <c r="CG485" s="529"/>
      <c r="CH485" s="64"/>
      <c r="CI485" s="64"/>
      <c r="CJ485" s="64"/>
      <c r="CK485" s="64"/>
      <c r="CL485" s="64"/>
      <c r="CM485" s="64"/>
      <c r="CN485" s="64"/>
      <c r="CO485" s="64"/>
      <c r="CP485" s="64"/>
      <c r="CQ485" s="64"/>
      <c r="CR485" s="64"/>
      <c r="CS485" s="64"/>
      <c r="CT485" s="64"/>
      <c r="CU485" s="64"/>
      <c r="CV485" s="64"/>
      <c r="CW485" s="64"/>
      <c r="CX485" s="64"/>
      <c r="CY485" s="1011"/>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c r="FC485" s="64"/>
      <c r="FD485" s="64"/>
      <c r="FE485" s="64"/>
      <c r="FF485" s="64"/>
      <c r="FG485" s="64"/>
      <c r="FH485" s="64"/>
      <c r="FI485" s="64"/>
      <c r="FJ485" s="64"/>
      <c r="FK485" s="64"/>
      <c r="FL485" s="64"/>
      <c r="FM485" s="64"/>
      <c r="FN485" s="64"/>
      <c r="FO485" s="64"/>
      <c r="FP485" s="64"/>
      <c r="FQ485" s="64"/>
      <c r="FR485" s="64"/>
      <c r="FS485" s="64"/>
      <c r="FT485" s="64"/>
      <c r="FU485" s="64"/>
      <c r="FV485" s="64"/>
      <c r="FW485" s="64"/>
      <c r="FX485" s="64"/>
      <c r="FY485" s="64"/>
      <c r="FZ485" s="64"/>
      <c r="GA485" s="64"/>
      <c r="GB485" s="64"/>
      <c r="GC485" s="64"/>
      <c r="GD485" s="64"/>
      <c r="GE485" s="64"/>
      <c r="GF485" s="64"/>
      <c r="GG485" s="64"/>
      <c r="GH485" s="64"/>
      <c r="GI485" s="64"/>
      <c r="GJ485" s="64"/>
      <c r="GK485" s="64"/>
      <c r="GL485" s="64"/>
      <c r="GM485" s="64"/>
      <c r="GN485" s="64"/>
      <c r="GO485" s="64"/>
      <c r="GP485" s="64"/>
      <c r="GQ485" s="64"/>
      <c r="GR485" s="64"/>
      <c r="GS485" s="64"/>
      <c r="GT485" s="64"/>
      <c r="GU485" s="64"/>
      <c r="GV485" s="64"/>
      <c r="GW485" s="64"/>
      <c r="GX485" s="64"/>
      <c r="GY485" s="64"/>
      <c r="GZ485" s="64"/>
      <c r="HA485" s="64"/>
      <c r="HB485" s="64"/>
      <c r="HC485" s="64"/>
      <c r="HD485" s="64"/>
      <c r="HE485" s="64"/>
      <c r="HF485" s="64"/>
      <c r="HG485" s="64"/>
      <c r="HH485" s="64"/>
      <c r="HI485" s="64"/>
      <c r="HJ485" s="64"/>
      <c r="HK485" s="64"/>
      <c r="HL485" s="64"/>
      <c r="HM485" s="64"/>
      <c r="HN485" s="64"/>
      <c r="HO485" s="64"/>
      <c r="HP485" s="64"/>
      <c r="HQ485" s="64"/>
      <c r="HR485" s="64"/>
      <c r="HS485" s="64"/>
      <c r="HT485" s="64"/>
      <c r="HU485" s="64"/>
      <c r="HV485" s="64"/>
      <c r="HW485" s="64"/>
      <c r="HX485" s="64"/>
      <c r="HY485" s="64"/>
      <c r="HZ485" s="64"/>
      <c r="IA485" s="64"/>
      <c r="IB485" s="64"/>
      <c r="IC485" s="64"/>
      <c r="ID485" s="64"/>
      <c r="IE485" s="64"/>
      <c r="IF485" s="64"/>
      <c r="IG485" s="64"/>
      <c r="IH485" s="64"/>
      <c r="II485" s="64"/>
      <c r="IJ485" s="64"/>
      <c r="IK485" s="64"/>
      <c r="IL485" s="64"/>
      <c r="IM485" s="64"/>
      <c r="IN485" s="64"/>
      <c r="IO485" s="64"/>
      <c r="IP485" s="64"/>
      <c r="IQ485" s="64"/>
      <c r="IR485" s="64"/>
      <c r="IS485" s="64"/>
      <c r="IT485" s="64"/>
      <c r="IU485" s="64"/>
      <c r="IV485" s="64"/>
      <c r="IW485" s="64"/>
      <c r="IX485" s="64"/>
      <c r="IY485" s="64"/>
      <c r="IZ485" s="64"/>
      <c r="JA485" s="64"/>
      <c r="JB485" s="64"/>
      <c r="JC485" s="64"/>
      <c r="JD485" s="64"/>
      <c r="JE485" s="64"/>
      <c r="JF485" s="64"/>
      <c r="JG485" s="64"/>
      <c r="JH485" s="64"/>
      <c r="JI485" s="64"/>
    </row>
    <row r="486" spans="1:269" s="920" customFormat="1" x14ac:dyDescent="0.2">
      <c r="A486" s="116"/>
      <c r="B486" s="64"/>
      <c r="C486" s="64"/>
      <c r="D486" s="64"/>
      <c r="E486" s="64"/>
      <c r="F486" s="64"/>
      <c r="G486" s="64"/>
      <c r="H486" s="64"/>
      <c r="I486" s="64"/>
      <c r="J486" s="116"/>
      <c r="K486" s="116"/>
      <c r="L486" s="116"/>
      <c r="M486" s="116"/>
      <c r="N486" s="116"/>
      <c r="O486" s="116"/>
      <c r="P486" s="116"/>
      <c r="Q486" s="102"/>
      <c r="R486" s="102"/>
      <c r="S486" s="102"/>
      <c r="T486" s="102"/>
      <c r="U486" s="913"/>
      <c r="V486" s="114"/>
      <c r="W486" s="805"/>
      <c r="X486" s="805"/>
      <c r="Y486" s="805"/>
      <c r="Z486" s="914"/>
      <c r="AA486" s="102"/>
      <c r="AB486" s="102"/>
      <c r="AC486" s="102"/>
      <c r="AD486" s="102"/>
      <c r="AE486" s="102"/>
      <c r="AF486" s="102"/>
      <c r="AG486" s="102"/>
      <c r="AH486" s="102"/>
      <c r="AI486" s="102"/>
      <c r="AJ486" s="906"/>
      <c r="AK486" s="102"/>
      <c r="AL486" s="915"/>
      <c r="AM486" s="915"/>
      <c r="AN486" s="114"/>
      <c r="AO486" s="64"/>
      <c r="AP486" s="64"/>
      <c r="AQ486" s="64"/>
      <c r="AR486" s="916"/>
      <c r="AS486" s="916"/>
      <c r="AT486" s="916"/>
      <c r="AU486" s="917"/>
      <c r="AV486" s="917"/>
      <c r="AW486" s="917"/>
      <c r="AX486" s="918"/>
      <c r="AY486" s="916"/>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917"/>
      <c r="CA486" s="917"/>
      <c r="CB486" s="64"/>
      <c r="CC486" s="919"/>
      <c r="CD486" s="919"/>
      <c r="CE486" s="64"/>
      <c r="CF486" s="528"/>
      <c r="CG486" s="529"/>
      <c r="CH486" s="64"/>
      <c r="CI486" s="64"/>
      <c r="CJ486" s="64"/>
      <c r="CK486" s="64"/>
      <c r="CL486" s="64"/>
      <c r="CM486" s="64"/>
      <c r="CN486" s="64"/>
      <c r="CO486" s="64"/>
      <c r="CP486" s="64"/>
      <c r="CQ486" s="64"/>
      <c r="CR486" s="64"/>
      <c r="CS486" s="64"/>
      <c r="CT486" s="64"/>
      <c r="CU486" s="64"/>
      <c r="CV486" s="64"/>
      <c r="CW486" s="64"/>
      <c r="CX486" s="64"/>
      <c r="CY486" s="1011"/>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c r="FC486" s="64"/>
      <c r="FD486" s="64"/>
      <c r="FE486" s="64"/>
      <c r="FF486" s="64"/>
      <c r="FG486" s="64"/>
      <c r="FH486" s="64"/>
      <c r="FI486" s="64"/>
      <c r="FJ486" s="64"/>
      <c r="FK486" s="64"/>
      <c r="FL486" s="64"/>
      <c r="FM486" s="64"/>
      <c r="FN486" s="64"/>
      <c r="FO486" s="64"/>
      <c r="FP486" s="64"/>
      <c r="FQ486" s="64"/>
      <c r="FR486" s="64"/>
      <c r="FS486" s="64"/>
      <c r="FT486" s="64"/>
      <c r="FU486" s="64"/>
      <c r="FV486" s="64"/>
      <c r="FW486" s="64"/>
      <c r="FX486" s="64"/>
      <c r="FY486" s="64"/>
      <c r="FZ486" s="64"/>
      <c r="GA486" s="64"/>
      <c r="GB486" s="64"/>
      <c r="GC486" s="64"/>
      <c r="GD486" s="64"/>
      <c r="GE486" s="64"/>
      <c r="GF486" s="64"/>
      <c r="GG486" s="64"/>
      <c r="GH486" s="64"/>
      <c r="GI486" s="64"/>
      <c r="GJ486" s="64"/>
      <c r="GK486" s="64"/>
      <c r="GL486" s="64"/>
      <c r="GM486" s="64"/>
      <c r="GN486" s="64"/>
      <c r="GO486" s="64"/>
      <c r="GP486" s="64"/>
      <c r="GQ486" s="64"/>
      <c r="GR486" s="64"/>
      <c r="GS486" s="64"/>
      <c r="GT486" s="64"/>
      <c r="GU486" s="64"/>
      <c r="GV486" s="64"/>
      <c r="GW486" s="64"/>
      <c r="GX486" s="64"/>
      <c r="GY486" s="64"/>
      <c r="GZ486" s="64"/>
      <c r="HA486" s="64"/>
      <c r="HB486" s="64"/>
      <c r="HC486" s="64"/>
      <c r="HD486" s="64"/>
      <c r="HE486" s="64"/>
      <c r="HF486" s="64"/>
      <c r="HG486" s="64"/>
      <c r="HH486" s="64"/>
      <c r="HI486" s="64"/>
      <c r="HJ486" s="64"/>
      <c r="HK486" s="64"/>
      <c r="HL486" s="64"/>
      <c r="HM486" s="64"/>
      <c r="HN486" s="64"/>
      <c r="HO486" s="64"/>
      <c r="HP486" s="64"/>
      <c r="HQ486" s="64"/>
      <c r="HR486" s="64"/>
      <c r="HS486" s="64"/>
      <c r="HT486" s="64"/>
      <c r="HU486" s="64"/>
      <c r="HV486" s="64"/>
      <c r="HW486" s="64"/>
      <c r="HX486" s="64"/>
      <c r="HY486" s="64"/>
      <c r="HZ486" s="64"/>
      <c r="IA486" s="64"/>
      <c r="IB486" s="64"/>
      <c r="IC486" s="64"/>
      <c r="ID486" s="64"/>
      <c r="IE486" s="64"/>
      <c r="IF486" s="64"/>
      <c r="IG486" s="64"/>
      <c r="IH486" s="64"/>
      <c r="II486" s="64"/>
      <c r="IJ486" s="64"/>
      <c r="IK486" s="64"/>
      <c r="IL486" s="64"/>
      <c r="IM486" s="64"/>
      <c r="IN486" s="64"/>
      <c r="IO486" s="64"/>
      <c r="IP486" s="64"/>
      <c r="IQ486" s="64"/>
      <c r="IR486" s="64"/>
      <c r="IS486" s="64"/>
      <c r="IT486" s="64"/>
      <c r="IU486" s="64"/>
      <c r="IV486" s="64"/>
      <c r="IW486" s="64"/>
      <c r="IX486" s="64"/>
      <c r="IY486" s="64"/>
      <c r="IZ486" s="64"/>
      <c r="JA486" s="64"/>
      <c r="JB486" s="64"/>
      <c r="JC486" s="64"/>
      <c r="JD486" s="64"/>
      <c r="JE486" s="64"/>
      <c r="JF486" s="64"/>
      <c r="JG486" s="64"/>
      <c r="JH486" s="64"/>
      <c r="JI486" s="64"/>
    </row>
    <row r="487" spans="1:269" s="920" customFormat="1" x14ac:dyDescent="0.2">
      <c r="A487" s="116"/>
      <c r="B487" s="64"/>
      <c r="C487" s="64"/>
      <c r="D487" s="64"/>
      <c r="E487" s="64"/>
      <c r="F487" s="64"/>
      <c r="G487" s="64"/>
      <c r="H487" s="64"/>
      <c r="I487" s="64"/>
      <c r="J487" s="116"/>
      <c r="K487" s="116"/>
      <c r="L487" s="116"/>
      <c r="M487" s="116"/>
      <c r="N487" s="116"/>
      <c r="O487" s="116"/>
      <c r="P487" s="116"/>
      <c r="Q487" s="102"/>
      <c r="R487" s="102"/>
      <c r="S487" s="102"/>
      <c r="T487" s="102"/>
      <c r="U487" s="913"/>
      <c r="V487" s="114"/>
      <c r="W487" s="805"/>
      <c r="X487" s="805"/>
      <c r="Y487" s="805"/>
      <c r="Z487" s="914"/>
      <c r="AA487" s="102"/>
      <c r="AB487" s="102"/>
      <c r="AC487" s="102"/>
      <c r="AD487" s="102"/>
      <c r="AE487" s="102"/>
      <c r="AF487" s="102"/>
      <c r="AG487" s="102"/>
      <c r="AH487" s="102"/>
      <c r="AI487" s="102"/>
      <c r="AJ487" s="906"/>
      <c r="AK487" s="102"/>
      <c r="AL487" s="915"/>
      <c r="AM487" s="915"/>
      <c r="AN487" s="114"/>
      <c r="AO487" s="64"/>
      <c r="AP487" s="64"/>
      <c r="AQ487" s="64"/>
      <c r="AR487" s="916"/>
      <c r="AS487" s="916"/>
      <c r="AT487" s="916"/>
      <c r="AU487" s="917"/>
      <c r="AV487" s="917"/>
      <c r="AW487" s="917"/>
      <c r="AX487" s="918"/>
      <c r="AY487" s="916"/>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917"/>
      <c r="CA487" s="917"/>
      <c r="CB487" s="64"/>
      <c r="CC487" s="919"/>
      <c r="CD487" s="919"/>
      <c r="CE487" s="64"/>
      <c r="CF487" s="528"/>
      <c r="CG487" s="529"/>
      <c r="CH487" s="64"/>
      <c r="CI487" s="64"/>
      <c r="CJ487" s="64"/>
      <c r="CK487" s="64"/>
      <c r="CL487" s="64"/>
      <c r="CM487" s="64"/>
      <c r="CN487" s="64"/>
      <c r="CO487" s="64"/>
      <c r="CP487" s="64"/>
      <c r="CQ487" s="64"/>
      <c r="CR487" s="64"/>
      <c r="CS487" s="64"/>
      <c r="CT487" s="64"/>
      <c r="CU487" s="64"/>
      <c r="CV487" s="64"/>
      <c r="CW487" s="64"/>
      <c r="CX487" s="64"/>
      <c r="CY487" s="1011"/>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c r="FC487" s="64"/>
      <c r="FD487" s="64"/>
      <c r="FE487" s="64"/>
      <c r="FF487" s="64"/>
      <c r="FG487" s="64"/>
      <c r="FH487" s="64"/>
      <c r="FI487" s="64"/>
      <c r="FJ487" s="64"/>
      <c r="FK487" s="64"/>
      <c r="FL487" s="64"/>
      <c r="FM487" s="64"/>
      <c r="FN487" s="64"/>
      <c r="FO487" s="64"/>
      <c r="FP487" s="64"/>
      <c r="FQ487" s="64"/>
      <c r="FR487" s="64"/>
      <c r="FS487" s="64"/>
      <c r="FT487" s="64"/>
      <c r="FU487" s="64"/>
      <c r="FV487" s="64"/>
      <c r="FW487" s="64"/>
      <c r="FX487" s="64"/>
      <c r="FY487" s="64"/>
      <c r="FZ487" s="64"/>
      <c r="GA487" s="64"/>
      <c r="GB487" s="64"/>
      <c r="GC487" s="64"/>
      <c r="GD487" s="64"/>
      <c r="GE487" s="64"/>
      <c r="GF487" s="64"/>
      <c r="GG487" s="64"/>
      <c r="GH487" s="64"/>
      <c r="GI487" s="64"/>
      <c r="GJ487" s="64"/>
      <c r="GK487" s="64"/>
      <c r="GL487" s="64"/>
      <c r="GM487" s="64"/>
      <c r="GN487" s="64"/>
      <c r="GO487" s="64"/>
      <c r="GP487" s="64"/>
      <c r="GQ487" s="64"/>
      <c r="GR487" s="64"/>
      <c r="GS487" s="64"/>
      <c r="GT487" s="64"/>
      <c r="GU487" s="64"/>
      <c r="GV487" s="64"/>
      <c r="GW487" s="64"/>
      <c r="GX487" s="64"/>
      <c r="GY487" s="64"/>
      <c r="GZ487" s="64"/>
      <c r="HA487" s="64"/>
      <c r="HB487" s="64"/>
      <c r="HC487" s="64"/>
      <c r="HD487" s="64"/>
      <c r="HE487" s="64"/>
      <c r="HF487" s="64"/>
      <c r="HG487" s="64"/>
      <c r="HH487" s="64"/>
      <c r="HI487" s="64"/>
      <c r="HJ487" s="64"/>
      <c r="HK487" s="64"/>
      <c r="HL487" s="64"/>
      <c r="HM487" s="64"/>
      <c r="HN487" s="64"/>
      <c r="HO487" s="64"/>
      <c r="HP487" s="64"/>
      <c r="HQ487" s="64"/>
      <c r="HR487" s="64"/>
      <c r="HS487" s="64"/>
      <c r="HT487" s="64"/>
      <c r="HU487" s="64"/>
      <c r="HV487" s="64"/>
      <c r="HW487" s="64"/>
      <c r="HX487" s="64"/>
      <c r="HY487" s="64"/>
      <c r="HZ487" s="64"/>
      <c r="IA487" s="64"/>
      <c r="IB487" s="64"/>
      <c r="IC487" s="64"/>
      <c r="ID487" s="64"/>
      <c r="IE487" s="64"/>
      <c r="IF487" s="64"/>
      <c r="IG487" s="64"/>
      <c r="IH487" s="64"/>
      <c r="II487" s="64"/>
      <c r="IJ487" s="64"/>
      <c r="IK487" s="64"/>
      <c r="IL487" s="64"/>
      <c r="IM487" s="64"/>
      <c r="IN487" s="64"/>
      <c r="IO487" s="64"/>
      <c r="IP487" s="64"/>
      <c r="IQ487" s="64"/>
      <c r="IR487" s="64"/>
      <c r="IS487" s="64"/>
      <c r="IT487" s="64"/>
      <c r="IU487" s="64"/>
      <c r="IV487" s="64"/>
      <c r="IW487" s="64"/>
      <c r="IX487" s="64"/>
      <c r="IY487" s="64"/>
      <c r="IZ487" s="64"/>
      <c r="JA487" s="64"/>
      <c r="JB487" s="64"/>
      <c r="JC487" s="64"/>
      <c r="JD487" s="64"/>
      <c r="JE487" s="64"/>
      <c r="JF487" s="64"/>
      <c r="JG487" s="64"/>
      <c r="JH487" s="64"/>
      <c r="JI487" s="64"/>
    </row>
    <row r="488" spans="1:269" s="920" customFormat="1" x14ac:dyDescent="0.2">
      <c r="A488" s="116"/>
      <c r="B488" s="64"/>
      <c r="C488" s="64"/>
      <c r="D488" s="64"/>
      <c r="E488" s="64"/>
      <c r="F488" s="64"/>
      <c r="G488" s="64"/>
      <c r="H488" s="64"/>
      <c r="I488" s="64"/>
      <c r="J488" s="116"/>
      <c r="K488" s="116"/>
      <c r="L488" s="116"/>
      <c r="M488" s="116"/>
      <c r="N488" s="116"/>
      <c r="O488" s="116"/>
      <c r="P488" s="116"/>
      <c r="Q488" s="102"/>
      <c r="R488" s="102"/>
      <c r="S488" s="102"/>
      <c r="T488" s="102"/>
      <c r="U488" s="913"/>
      <c r="V488" s="114"/>
      <c r="W488" s="805"/>
      <c r="X488" s="805"/>
      <c r="Y488" s="805"/>
      <c r="Z488" s="914"/>
      <c r="AA488" s="102"/>
      <c r="AB488" s="102"/>
      <c r="AC488" s="102"/>
      <c r="AD488" s="102"/>
      <c r="AE488" s="102"/>
      <c r="AF488" s="102"/>
      <c r="AG488" s="102"/>
      <c r="AH488" s="102"/>
      <c r="AI488" s="102"/>
      <c r="AJ488" s="906"/>
      <c r="AK488" s="102"/>
      <c r="AL488" s="915"/>
      <c r="AM488" s="915"/>
      <c r="AN488" s="114"/>
      <c r="AO488" s="64"/>
      <c r="AP488" s="64"/>
      <c r="AQ488" s="64"/>
      <c r="AR488" s="916"/>
      <c r="AS488" s="916"/>
      <c r="AT488" s="916"/>
      <c r="AU488" s="917"/>
      <c r="AV488" s="917"/>
      <c r="AW488" s="917"/>
      <c r="AX488" s="918"/>
      <c r="AY488" s="916"/>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917"/>
      <c r="CA488" s="917"/>
      <c r="CB488" s="64"/>
      <c r="CC488" s="919"/>
      <c r="CD488" s="919"/>
      <c r="CE488" s="64"/>
      <c r="CF488" s="528"/>
      <c r="CG488" s="529"/>
      <c r="CH488" s="64"/>
      <c r="CI488" s="64"/>
      <c r="CJ488" s="64"/>
      <c r="CK488" s="64"/>
      <c r="CL488" s="64"/>
      <c r="CM488" s="64"/>
      <c r="CN488" s="64"/>
      <c r="CO488" s="64"/>
      <c r="CP488" s="64"/>
      <c r="CQ488" s="64"/>
      <c r="CR488" s="64"/>
      <c r="CS488" s="64"/>
      <c r="CT488" s="64"/>
      <c r="CU488" s="64"/>
      <c r="CV488" s="64"/>
      <c r="CW488" s="64"/>
      <c r="CX488" s="64"/>
      <c r="CY488" s="1011"/>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c r="FC488" s="64"/>
      <c r="FD488" s="64"/>
      <c r="FE488" s="64"/>
      <c r="FF488" s="64"/>
      <c r="FG488" s="64"/>
      <c r="FH488" s="64"/>
      <c r="FI488" s="64"/>
      <c r="FJ488" s="64"/>
      <c r="FK488" s="64"/>
      <c r="FL488" s="64"/>
      <c r="FM488" s="64"/>
      <c r="FN488" s="64"/>
      <c r="FO488" s="64"/>
      <c r="FP488" s="64"/>
      <c r="FQ488" s="64"/>
      <c r="FR488" s="64"/>
      <c r="FS488" s="64"/>
      <c r="FT488" s="64"/>
      <c r="FU488" s="64"/>
      <c r="FV488" s="64"/>
      <c r="FW488" s="64"/>
      <c r="FX488" s="64"/>
      <c r="FY488" s="64"/>
      <c r="FZ488" s="64"/>
      <c r="GA488" s="64"/>
      <c r="GB488" s="64"/>
      <c r="GC488" s="64"/>
      <c r="GD488" s="64"/>
      <c r="GE488" s="64"/>
      <c r="GF488" s="64"/>
      <c r="GG488" s="64"/>
      <c r="GH488" s="64"/>
      <c r="GI488" s="64"/>
      <c r="GJ488" s="64"/>
      <c r="GK488" s="64"/>
      <c r="GL488" s="64"/>
      <c r="GM488" s="64"/>
      <c r="GN488" s="64"/>
      <c r="GO488" s="64"/>
      <c r="GP488" s="64"/>
      <c r="GQ488" s="64"/>
      <c r="GR488" s="64"/>
      <c r="GS488" s="64"/>
      <c r="GT488" s="64"/>
      <c r="GU488" s="64"/>
      <c r="GV488" s="64"/>
      <c r="GW488" s="64"/>
      <c r="GX488" s="64"/>
      <c r="GY488" s="64"/>
      <c r="GZ488" s="64"/>
      <c r="HA488" s="64"/>
      <c r="HB488" s="64"/>
      <c r="HC488" s="64"/>
      <c r="HD488" s="64"/>
      <c r="HE488" s="64"/>
      <c r="HF488" s="64"/>
      <c r="HG488" s="64"/>
      <c r="HH488" s="64"/>
      <c r="HI488" s="64"/>
      <c r="HJ488" s="64"/>
      <c r="HK488" s="64"/>
      <c r="HL488" s="64"/>
      <c r="HM488" s="64"/>
      <c r="HN488" s="64"/>
      <c r="HO488" s="64"/>
      <c r="HP488" s="64"/>
      <c r="HQ488" s="64"/>
      <c r="HR488" s="64"/>
      <c r="HS488" s="64"/>
      <c r="HT488" s="64"/>
      <c r="HU488" s="64"/>
      <c r="HV488" s="64"/>
      <c r="HW488" s="64"/>
      <c r="HX488" s="64"/>
      <c r="HY488" s="64"/>
      <c r="HZ488" s="64"/>
      <c r="IA488" s="64"/>
      <c r="IB488" s="64"/>
      <c r="IC488" s="64"/>
      <c r="ID488" s="64"/>
      <c r="IE488" s="64"/>
      <c r="IF488" s="64"/>
      <c r="IG488" s="64"/>
      <c r="IH488" s="64"/>
      <c r="II488" s="64"/>
      <c r="IJ488" s="64"/>
      <c r="IK488" s="64"/>
      <c r="IL488" s="64"/>
      <c r="IM488" s="64"/>
      <c r="IN488" s="64"/>
      <c r="IO488" s="64"/>
      <c r="IP488" s="64"/>
      <c r="IQ488" s="64"/>
      <c r="IR488" s="64"/>
      <c r="IS488" s="64"/>
      <c r="IT488" s="64"/>
      <c r="IU488" s="64"/>
      <c r="IV488" s="64"/>
      <c r="IW488" s="64"/>
      <c r="IX488" s="64"/>
      <c r="IY488" s="64"/>
      <c r="IZ488" s="64"/>
      <c r="JA488" s="64"/>
      <c r="JB488" s="64"/>
      <c r="JC488" s="64"/>
      <c r="JD488" s="64"/>
      <c r="JE488" s="64"/>
      <c r="JF488" s="64"/>
      <c r="JG488" s="64"/>
      <c r="JH488" s="64"/>
      <c r="JI488" s="64"/>
    </row>
    <row r="489" spans="1:269" s="920" customFormat="1" x14ac:dyDescent="0.2">
      <c r="A489" s="116"/>
      <c r="B489" s="64"/>
      <c r="C489" s="64"/>
      <c r="D489" s="64"/>
      <c r="E489" s="64"/>
      <c r="F489" s="64"/>
      <c r="G489" s="64"/>
      <c r="H489" s="64"/>
      <c r="I489" s="64"/>
      <c r="J489" s="116"/>
      <c r="K489" s="116"/>
      <c r="L489" s="116"/>
      <c r="M489" s="116"/>
      <c r="N489" s="116"/>
      <c r="O489" s="116"/>
      <c r="P489" s="116"/>
      <c r="Q489" s="102"/>
      <c r="R489" s="102"/>
      <c r="S489" s="102"/>
      <c r="T489" s="102"/>
      <c r="U489" s="913"/>
      <c r="V489" s="114"/>
      <c r="W489" s="805"/>
      <c r="X489" s="805"/>
      <c r="Y489" s="805"/>
      <c r="Z489" s="914"/>
      <c r="AA489" s="102"/>
      <c r="AB489" s="102"/>
      <c r="AC489" s="102"/>
      <c r="AD489" s="102"/>
      <c r="AE489" s="102"/>
      <c r="AF489" s="102"/>
      <c r="AG489" s="102"/>
      <c r="AH489" s="102"/>
      <c r="AI489" s="102"/>
      <c r="AJ489" s="906"/>
      <c r="AK489" s="102"/>
      <c r="AL489" s="915"/>
      <c r="AM489" s="915"/>
      <c r="AN489" s="114"/>
      <c r="AO489" s="64"/>
      <c r="AP489" s="64"/>
      <c r="AQ489" s="64"/>
      <c r="AR489" s="916"/>
      <c r="AS489" s="916"/>
      <c r="AT489" s="916"/>
      <c r="AU489" s="917"/>
      <c r="AV489" s="917"/>
      <c r="AW489" s="917"/>
      <c r="AX489" s="918"/>
      <c r="AY489" s="916"/>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917"/>
      <c r="CA489" s="917"/>
      <c r="CB489" s="64"/>
      <c r="CC489" s="919"/>
      <c r="CD489" s="919"/>
      <c r="CE489" s="64"/>
      <c r="CF489" s="528"/>
      <c r="CG489" s="529"/>
      <c r="CH489" s="64"/>
      <c r="CI489" s="64"/>
      <c r="CJ489" s="64"/>
      <c r="CK489" s="64"/>
      <c r="CL489" s="64"/>
      <c r="CM489" s="64"/>
      <c r="CN489" s="64"/>
      <c r="CO489" s="64"/>
      <c r="CP489" s="64"/>
      <c r="CQ489" s="64"/>
      <c r="CR489" s="64"/>
      <c r="CS489" s="64"/>
      <c r="CT489" s="64"/>
      <c r="CU489" s="64"/>
      <c r="CV489" s="64"/>
      <c r="CW489" s="64"/>
      <c r="CX489" s="64"/>
      <c r="CY489" s="1011"/>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c r="FC489" s="64"/>
      <c r="FD489" s="64"/>
      <c r="FE489" s="64"/>
      <c r="FF489" s="64"/>
      <c r="FG489" s="64"/>
      <c r="FH489" s="64"/>
      <c r="FI489" s="64"/>
      <c r="FJ489" s="64"/>
      <c r="FK489" s="64"/>
      <c r="FL489" s="64"/>
      <c r="FM489" s="64"/>
      <c r="FN489" s="64"/>
      <c r="FO489" s="64"/>
      <c r="FP489" s="64"/>
      <c r="FQ489" s="64"/>
      <c r="FR489" s="64"/>
      <c r="FS489" s="64"/>
      <c r="FT489" s="64"/>
      <c r="FU489" s="64"/>
      <c r="FV489" s="64"/>
      <c r="FW489" s="64"/>
      <c r="FX489" s="64"/>
      <c r="FY489" s="64"/>
      <c r="FZ489" s="64"/>
      <c r="GA489" s="64"/>
      <c r="GB489" s="64"/>
      <c r="GC489" s="64"/>
      <c r="GD489" s="64"/>
      <c r="GE489" s="64"/>
      <c r="GF489" s="64"/>
      <c r="GG489" s="64"/>
      <c r="GH489" s="64"/>
      <c r="GI489" s="64"/>
      <c r="GJ489" s="64"/>
      <c r="GK489" s="64"/>
      <c r="GL489" s="64"/>
      <c r="GM489" s="64"/>
      <c r="GN489" s="64"/>
      <c r="GO489" s="64"/>
      <c r="GP489" s="64"/>
      <c r="GQ489" s="64"/>
      <c r="GR489" s="64"/>
      <c r="GS489" s="64"/>
      <c r="GT489" s="64"/>
      <c r="GU489" s="64"/>
      <c r="GV489" s="64"/>
      <c r="GW489" s="64"/>
      <c r="GX489" s="64"/>
      <c r="GY489" s="64"/>
      <c r="GZ489" s="64"/>
      <c r="HA489" s="64"/>
      <c r="HB489" s="64"/>
      <c r="HC489" s="64"/>
      <c r="HD489" s="64"/>
      <c r="HE489" s="64"/>
      <c r="HF489" s="64"/>
      <c r="HG489" s="64"/>
      <c r="HH489" s="64"/>
      <c r="HI489" s="64"/>
      <c r="HJ489" s="64"/>
      <c r="HK489" s="64"/>
      <c r="HL489" s="64"/>
      <c r="HM489" s="64"/>
      <c r="HN489" s="64"/>
      <c r="HO489" s="64"/>
      <c r="HP489" s="64"/>
      <c r="HQ489" s="64"/>
      <c r="HR489" s="64"/>
      <c r="HS489" s="64"/>
      <c r="HT489" s="64"/>
      <c r="HU489" s="64"/>
      <c r="HV489" s="64"/>
      <c r="HW489" s="64"/>
      <c r="HX489" s="64"/>
      <c r="HY489" s="64"/>
      <c r="HZ489" s="64"/>
      <c r="IA489" s="64"/>
      <c r="IB489" s="64"/>
      <c r="IC489" s="64"/>
      <c r="ID489" s="64"/>
      <c r="IE489" s="64"/>
      <c r="IF489" s="64"/>
      <c r="IG489" s="64"/>
      <c r="IH489" s="64"/>
      <c r="II489" s="64"/>
      <c r="IJ489" s="64"/>
      <c r="IK489" s="64"/>
      <c r="IL489" s="64"/>
      <c r="IM489" s="64"/>
      <c r="IN489" s="64"/>
      <c r="IO489" s="64"/>
      <c r="IP489" s="64"/>
      <c r="IQ489" s="64"/>
      <c r="IR489" s="64"/>
      <c r="IS489" s="64"/>
      <c r="IT489" s="64"/>
      <c r="IU489" s="64"/>
      <c r="IV489" s="64"/>
      <c r="IW489" s="64"/>
      <c r="IX489" s="64"/>
      <c r="IY489" s="64"/>
      <c r="IZ489" s="64"/>
      <c r="JA489" s="64"/>
      <c r="JB489" s="64"/>
      <c r="JC489" s="64"/>
      <c r="JD489" s="64"/>
      <c r="JE489" s="64"/>
      <c r="JF489" s="64"/>
      <c r="JG489" s="64"/>
      <c r="JH489" s="64"/>
      <c r="JI489" s="64"/>
    </row>
    <row r="490" spans="1:269" s="920" customFormat="1" x14ac:dyDescent="0.2">
      <c r="A490" s="116"/>
      <c r="B490" s="64"/>
      <c r="C490" s="64"/>
      <c r="D490" s="64"/>
      <c r="E490" s="64"/>
      <c r="F490" s="64"/>
      <c r="G490" s="64"/>
      <c r="H490" s="64"/>
      <c r="I490" s="64"/>
      <c r="J490" s="116"/>
      <c r="K490" s="116"/>
      <c r="L490" s="116"/>
      <c r="M490" s="116"/>
      <c r="N490" s="116"/>
      <c r="O490" s="116"/>
      <c r="P490" s="116"/>
      <c r="Q490" s="102"/>
      <c r="R490" s="102"/>
      <c r="S490" s="102"/>
      <c r="T490" s="102"/>
      <c r="U490" s="913"/>
      <c r="V490" s="114"/>
      <c r="W490" s="805"/>
      <c r="X490" s="805"/>
      <c r="Y490" s="805"/>
      <c r="Z490" s="914"/>
      <c r="AA490" s="102"/>
      <c r="AB490" s="102"/>
      <c r="AC490" s="102"/>
      <c r="AD490" s="102"/>
      <c r="AE490" s="102"/>
      <c r="AF490" s="102"/>
      <c r="AG490" s="102"/>
      <c r="AH490" s="102"/>
      <c r="AI490" s="102"/>
      <c r="AJ490" s="906"/>
      <c r="AK490" s="102"/>
      <c r="AL490" s="915"/>
      <c r="AM490" s="915"/>
      <c r="AN490" s="114"/>
      <c r="AO490" s="64"/>
      <c r="AP490" s="64"/>
      <c r="AQ490" s="64"/>
      <c r="AR490" s="916"/>
      <c r="AS490" s="916"/>
      <c r="AT490" s="916"/>
      <c r="AU490" s="917"/>
      <c r="AV490" s="917"/>
      <c r="AW490" s="917"/>
      <c r="AX490" s="918"/>
      <c r="AY490" s="916"/>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917"/>
      <c r="CA490" s="917"/>
      <c r="CB490" s="64"/>
      <c r="CC490" s="919"/>
      <c r="CD490" s="919"/>
      <c r="CE490" s="64"/>
      <c r="CF490" s="528"/>
      <c r="CG490" s="529"/>
      <c r="CH490" s="64"/>
      <c r="CI490" s="64"/>
      <c r="CJ490" s="64"/>
      <c r="CK490" s="64"/>
      <c r="CL490" s="64"/>
      <c r="CM490" s="64"/>
      <c r="CN490" s="64"/>
      <c r="CO490" s="64"/>
      <c r="CP490" s="64"/>
      <c r="CQ490" s="64"/>
      <c r="CR490" s="64"/>
      <c r="CS490" s="64"/>
      <c r="CT490" s="64"/>
      <c r="CU490" s="64"/>
      <c r="CV490" s="64"/>
      <c r="CW490" s="64"/>
      <c r="CX490" s="64"/>
      <c r="CY490" s="1011"/>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c r="FC490" s="64"/>
      <c r="FD490" s="64"/>
      <c r="FE490" s="64"/>
      <c r="FF490" s="64"/>
      <c r="FG490" s="64"/>
      <c r="FH490" s="64"/>
      <c r="FI490" s="64"/>
      <c r="FJ490" s="64"/>
      <c r="FK490" s="64"/>
      <c r="FL490" s="64"/>
      <c r="FM490" s="64"/>
      <c r="FN490" s="64"/>
      <c r="FO490" s="64"/>
      <c r="FP490" s="64"/>
      <c r="FQ490" s="64"/>
      <c r="FR490" s="64"/>
      <c r="FS490" s="64"/>
      <c r="FT490" s="64"/>
      <c r="FU490" s="64"/>
      <c r="FV490" s="64"/>
      <c r="FW490" s="64"/>
      <c r="FX490" s="64"/>
      <c r="FY490" s="64"/>
      <c r="FZ490" s="64"/>
      <c r="GA490" s="64"/>
      <c r="GB490" s="64"/>
      <c r="GC490" s="64"/>
      <c r="GD490" s="64"/>
      <c r="GE490" s="64"/>
      <c r="GF490" s="64"/>
      <c r="GG490" s="64"/>
      <c r="GH490" s="64"/>
      <c r="GI490" s="64"/>
      <c r="GJ490" s="64"/>
      <c r="GK490" s="64"/>
      <c r="GL490" s="64"/>
      <c r="GM490" s="64"/>
      <c r="GN490" s="64"/>
      <c r="GO490" s="64"/>
      <c r="GP490" s="64"/>
      <c r="GQ490" s="64"/>
      <c r="GR490" s="64"/>
      <c r="GS490" s="64"/>
      <c r="GT490" s="64"/>
      <c r="GU490" s="64"/>
      <c r="GV490" s="64"/>
      <c r="GW490" s="64"/>
      <c r="GX490" s="64"/>
      <c r="GY490" s="64"/>
      <c r="GZ490" s="64"/>
      <c r="HA490" s="64"/>
      <c r="HB490" s="64"/>
      <c r="HC490" s="64"/>
      <c r="HD490" s="64"/>
      <c r="HE490" s="64"/>
      <c r="HF490" s="64"/>
      <c r="HG490" s="64"/>
      <c r="HH490" s="64"/>
      <c r="HI490" s="64"/>
      <c r="HJ490" s="64"/>
      <c r="HK490" s="64"/>
      <c r="HL490" s="64"/>
      <c r="HM490" s="64"/>
      <c r="HN490" s="64"/>
      <c r="HO490" s="64"/>
      <c r="HP490" s="64"/>
      <c r="HQ490" s="64"/>
      <c r="HR490" s="64"/>
      <c r="HS490" s="64"/>
      <c r="HT490" s="64"/>
      <c r="HU490" s="64"/>
      <c r="HV490" s="64"/>
      <c r="HW490" s="64"/>
      <c r="HX490" s="64"/>
      <c r="HY490" s="64"/>
      <c r="HZ490" s="64"/>
      <c r="IA490" s="64"/>
      <c r="IB490" s="64"/>
      <c r="IC490" s="64"/>
      <c r="ID490" s="64"/>
      <c r="IE490" s="64"/>
      <c r="IF490" s="64"/>
      <c r="IG490" s="64"/>
      <c r="IH490" s="64"/>
      <c r="II490" s="64"/>
      <c r="IJ490" s="64"/>
      <c r="IK490" s="64"/>
      <c r="IL490" s="64"/>
      <c r="IM490" s="64"/>
      <c r="IN490" s="64"/>
      <c r="IO490" s="64"/>
      <c r="IP490" s="64"/>
      <c r="IQ490" s="64"/>
      <c r="IR490" s="64"/>
      <c r="IS490" s="64"/>
      <c r="IT490" s="64"/>
      <c r="IU490" s="64"/>
      <c r="IV490" s="64"/>
      <c r="IW490" s="64"/>
      <c r="IX490" s="64"/>
      <c r="IY490" s="64"/>
      <c r="IZ490" s="64"/>
      <c r="JA490" s="64"/>
      <c r="JB490" s="64"/>
      <c r="JC490" s="64"/>
      <c r="JD490" s="64"/>
      <c r="JE490" s="64"/>
      <c r="JF490" s="64"/>
      <c r="JG490" s="64"/>
      <c r="JH490" s="64"/>
      <c r="JI490" s="64"/>
    </row>
    <row r="491" spans="1:269" s="920" customFormat="1" x14ac:dyDescent="0.2">
      <c r="A491" s="116"/>
      <c r="B491" s="64"/>
      <c r="C491" s="64"/>
      <c r="D491" s="64"/>
      <c r="E491" s="64"/>
      <c r="F491" s="64"/>
      <c r="G491" s="64"/>
      <c r="H491" s="64"/>
      <c r="I491" s="64"/>
      <c r="J491" s="116"/>
      <c r="K491" s="116"/>
      <c r="L491" s="116"/>
      <c r="M491" s="116"/>
      <c r="N491" s="116"/>
      <c r="O491" s="116"/>
      <c r="P491" s="116"/>
      <c r="Q491" s="102"/>
      <c r="R491" s="102"/>
      <c r="S491" s="102"/>
      <c r="T491" s="102"/>
      <c r="U491" s="913"/>
      <c r="V491" s="114"/>
      <c r="W491" s="805"/>
      <c r="X491" s="805"/>
      <c r="Y491" s="805"/>
      <c r="Z491" s="914"/>
      <c r="AA491" s="102"/>
      <c r="AB491" s="102"/>
      <c r="AC491" s="102"/>
      <c r="AD491" s="102"/>
      <c r="AE491" s="102"/>
      <c r="AF491" s="102"/>
      <c r="AG491" s="102"/>
      <c r="AH491" s="102"/>
      <c r="AI491" s="102"/>
      <c r="AJ491" s="906"/>
      <c r="AK491" s="102"/>
      <c r="AL491" s="915"/>
      <c r="AM491" s="915"/>
      <c r="AN491" s="114"/>
      <c r="AO491" s="64"/>
      <c r="AP491" s="64"/>
      <c r="AQ491" s="64"/>
      <c r="AR491" s="916"/>
      <c r="AS491" s="916"/>
      <c r="AT491" s="916"/>
      <c r="AU491" s="917"/>
      <c r="AV491" s="917"/>
      <c r="AW491" s="917"/>
      <c r="AX491" s="918"/>
      <c r="AY491" s="916"/>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917"/>
      <c r="CA491" s="917"/>
      <c r="CB491" s="64"/>
      <c r="CC491" s="919"/>
      <c r="CD491" s="919"/>
      <c r="CE491" s="64"/>
      <c r="CF491" s="528"/>
      <c r="CG491" s="529"/>
      <c r="CH491" s="64"/>
      <c r="CI491" s="64"/>
      <c r="CJ491" s="64"/>
      <c r="CK491" s="64"/>
      <c r="CL491" s="64"/>
      <c r="CM491" s="64"/>
      <c r="CN491" s="64"/>
      <c r="CO491" s="64"/>
      <c r="CP491" s="64"/>
      <c r="CQ491" s="64"/>
      <c r="CR491" s="64"/>
      <c r="CS491" s="64"/>
      <c r="CT491" s="64"/>
      <c r="CU491" s="64"/>
      <c r="CV491" s="64"/>
      <c r="CW491" s="64"/>
      <c r="CX491" s="64"/>
      <c r="CY491" s="1011"/>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c r="FC491" s="64"/>
      <c r="FD491" s="64"/>
      <c r="FE491" s="64"/>
      <c r="FF491" s="64"/>
      <c r="FG491" s="64"/>
      <c r="FH491" s="64"/>
      <c r="FI491" s="64"/>
      <c r="FJ491" s="64"/>
      <c r="FK491" s="64"/>
      <c r="FL491" s="64"/>
      <c r="FM491" s="64"/>
      <c r="FN491" s="64"/>
      <c r="FO491" s="64"/>
      <c r="FP491" s="64"/>
      <c r="FQ491" s="64"/>
      <c r="FR491" s="64"/>
      <c r="FS491" s="64"/>
      <c r="FT491" s="64"/>
      <c r="FU491" s="64"/>
      <c r="FV491" s="64"/>
      <c r="FW491" s="64"/>
      <c r="FX491" s="64"/>
      <c r="FY491" s="64"/>
      <c r="FZ491" s="64"/>
      <c r="GA491" s="64"/>
      <c r="GB491" s="64"/>
      <c r="GC491" s="64"/>
      <c r="GD491" s="64"/>
      <c r="GE491" s="64"/>
      <c r="GF491" s="64"/>
      <c r="GG491" s="64"/>
      <c r="GH491" s="64"/>
      <c r="GI491" s="64"/>
      <c r="GJ491" s="64"/>
      <c r="GK491" s="64"/>
      <c r="GL491" s="64"/>
      <c r="GM491" s="64"/>
      <c r="GN491" s="64"/>
      <c r="GO491" s="64"/>
      <c r="GP491" s="64"/>
      <c r="GQ491" s="64"/>
      <c r="GR491" s="64"/>
      <c r="GS491" s="64"/>
      <c r="GT491" s="64"/>
      <c r="GU491" s="64"/>
      <c r="GV491" s="64"/>
      <c r="GW491" s="64"/>
      <c r="GX491" s="64"/>
      <c r="GY491" s="64"/>
      <c r="GZ491" s="64"/>
      <c r="HA491" s="64"/>
      <c r="HB491" s="64"/>
      <c r="HC491" s="64"/>
      <c r="HD491" s="64"/>
      <c r="HE491" s="64"/>
      <c r="HF491" s="64"/>
      <c r="HG491" s="64"/>
      <c r="HH491" s="64"/>
      <c r="HI491" s="64"/>
      <c r="HJ491" s="64"/>
      <c r="HK491" s="64"/>
      <c r="HL491" s="64"/>
      <c r="HM491" s="64"/>
      <c r="HN491" s="64"/>
      <c r="HO491" s="64"/>
      <c r="HP491" s="64"/>
      <c r="HQ491" s="64"/>
      <c r="HR491" s="64"/>
      <c r="HS491" s="64"/>
      <c r="HT491" s="64"/>
      <c r="HU491" s="64"/>
      <c r="HV491" s="64"/>
      <c r="HW491" s="64"/>
      <c r="HX491" s="64"/>
      <c r="HY491" s="64"/>
      <c r="HZ491" s="64"/>
      <c r="IA491" s="64"/>
      <c r="IB491" s="64"/>
      <c r="IC491" s="64"/>
      <c r="ID491" s="64"/>
      <c r="IE491" s="64"/>
      <c r="IF491" s="64"/>
      <c r="IG491" s="64"/>
      <c r="IH491" s="64"/>
      <c r="II491" s="64"/>
      <c r="IJ491" s="64"/>
      <c r="IK491" s="64"/>
      <c r="IL491" s="64"/>
      <c r="IM491" s="64"/>
      <c r="IN491" s="64"/>
      <c r="IO491" s="64"/>
      <c r="IP491" s="64"/>
      <c r="IQ491" s="64"/>
      <c r="IR491" s="64"/>
      <c r="IS491" s="64"/>
      <c r="IT491" s="64"/>
      <c r="IU491" s="64"/>
      <c r="IV491" s="64"/>
      <c r="IW491" s="64"/>
      <c r="IX491" s="64"/>
      <c r="IY491" s="64"/>
      <c r="IZ491" s="64"/>
      <c r="JA491" s="64"/>
      <c r="JB491" s="64"/>
      <c r="JC491" s="64"/>
      <c r="JD491" s="64"/>
      <c r="JE491" s="64"/>
      <c r="JF491" s="64"/>
      <c r="JG491" s="64"/>
      <c r="JH491" s="64"/>
      <c r="JI491" s="64"/>
    </row>
    <row r="492" spans="1:269" s="920" customFormat="1" x14ac:dyDescent="0.2">
      <c r="A492" s="116"/>
      <c r="B492" s="64"/>
      <c r="C492" s="64"/>
      <c r="D492" s="64"/>
      <c r="E492" s="64"/>
      <c r="F492" s="64"/>
      <c r="G492" s="64"/>
      <c r="H492" s="64"/>
      <c r="I492" s="64"/>
      <c r="J492" s="116"/>
      <c r="K492" s="116"/>
      <c r="L492" s="116"/>
      <c r="M492" s="116"/>
      <c r="N492" s="116"/>
      <c r="O492" s="116"/>
      <c r="P492" s="116"/>
      <c r="Q492" s="102"/>
      <c r="R492" s="102"/>
      <c r="S492" s="102"/>
      <c r="T492" s="102"/>
      <c r="U492" s="913"/>
      <c r="V492" s="114"/>
      <c r="W492" s="805"/>
      <c r="X492" s="805"/>
      <c r="Y492" s="805"/>
      <c r="Z492" s="914"/>
      <c r="AA492" s="102"/>
      <c r="AB492" s="102"/>
      <c r="AC492" s="102"/>
      <c r="AD492" s="102"/>
      <c r="AE492" s="102"/>
      <c r="AF492" s="102"/>
      <c r="AG492" s="102"/>
      <c r="AH492" s="102"/>
      <c r="AI492" s="102"/>
      <c r="AJ492" s="906"/>
      <c r="AK492" s="102"/>
      <c r="AL492" s="915"/>
      <c r="AM492" s="915"/>
      <c r="AN492" s="114"/>
      <c r="AO492" s="64"/>
      <c r="AP492" s="64"/>
      <c r="AQ492" s="64"/>
      <c r="AR492" s="916"/>
      <c r="AS492" s="916"/>
      <c r="AT492" s="916"/>
      <c r="AU492" s="917"/>
      <c r="AV492" s="917"/>
      <c r="AW492" s="917"/>
      <c r="AX492" s="918"/>
      <c r="AY492" s="916"/>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917"/>
      <c r="CA492" s="917"/>
      <c r="CB492" s="64"/>
      <c r="CC492" s="919"/>
      <c r="CD492" s="919"/>
      <c r="CE492" s="64"/>
      <c r="CF492" s="528"/>
      <c r="CG492" s="529"/>
      <c r="CH492" s="64"/>
      <c r="CI492" s="64"/>
      <c r="CJ492" s="64"/>
      <c r="CK492" s="64"/>
      <c r="CL492" s="64"/>
      <c r="CM492" s="64"/>
      <c r="CN492" s="64"/>
      <c r="CO492" s="64"/>
      <c r="CP492" s="64"/>
      <c r="CQ492" s="64"/>
      <c r="CR492" s="64"/>
      <c r="CS492" s="64"/>
      <c r="CT492" s="64"/>
      <c r="CU492" s="64"/>
      <c r="CV492" s="64"/>
      <c r="CW492" s="64"/>
      <c r="CX492" s="64"/>
      <c r="CY492" s="1011"/>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c r="FC492" s="64"/>
      <c r="FD492" s="64"/>
      <c r="FE492" s="64"/>
      <c r="FF492" s="64"/>
      <c r="FG492" s="64"/>
      <c r="FH492" s="64"/>
      <c r="FI492" s="64"/>
      <c r="FJ492" s="64"/>
      <c r="FK492" s="64"/>
      <c r="FL492" s="64"/>
      <c r="FM492" s="64"/>
      <c r="FN492" s="64"/>
      <c r="FO492" s="64"/>
      <c r="FP492" s="64"/>
      <c r="FQ492" s="64"/>
      <c r="FR492" s="64"/>
      <c r="FS492" s="64"/>
      <c r="FT492" s="64"/>
      <c r="FU492" s="64"/>
      <c r="FV492" s="64"/>
      <c r="FW492" s="64"/>
      <c r="FX492" s="64"/>
      <c r="FY492" s="64"/>
      <c r="FZ492" s="64"/>
      <c r="GA492" s="64"/>
      <c r="GB492" s="64"/>
      <c r="GC492" s="64"/>
      <c r="GD492" s="64"/>
      <c r="GE492" s="64"/>
      <c r="GF492" s="64"/>
      <c r="GG492" s="64"/>
      <c r="GH492" s="64"/>
      <c r="GI492" s="64"/>
      <c r="GJ492" s="64"/>
      <c r="GK492" s="64"/>
      <c r="GL492" s="64"/>
      <c r="GM492" s="64"/>
      <c r="GN492" s="64"/>
      <c r="GO492" s="64"/>
      <c r="GP492" s="64"/>
      <c r="GQ492" s="64"/>
      <c r="GR492" s="64"/>
      <c r="GS492" s="64"/>
      <c r="GT492" s="64"/>
      <c r="GU492" s="64"/>
      <c r="GV492" s="64"/>
      <c r="GW492" s="64"/>
      <c r="GX492" s="64"/>
      <c r="GY492" s="64"/>
      <c r="GZ492" s="64"/>
      <c r="HA492" s="64"/>
      <c r="HB492" s="64"/>
      <c r="HC492" s="64"/>
      <c r="HD492" s="64"/>
      <c r="HE492" s="64"/>
      <c r="HF492" s="64"/>
      <c r="HG492" s="64"/>
      <c r="HH492" s="64"/>
      <c r="HI492" s="64"/>
      <c r="HJ492" s="64"/>
      <c r="HK492" s="64"/>
      <c r="HL492" s="64"/>
      <c r="HM492" s="64"/>
      <c r="HN492" s="64"/>
      <c r="HO492" s="64"/>
      <c r="HP492" s="64"/>
      <c r="HQ492" s="64"/>
      <c r="HR492" s="64"/>
      <c r="HS492" s="64"/>
      <c r="HT492" s="64"/>
      <c r="HU492" s="64"/>
      <c r="HV492" s="64"/>
      <c r="HW492" s="64"/>
      <c r="HX492" s="64"/>
      <c r="HY492" s="64"/>
      <c r="HZ492" s="64"/>
      <c r="IA492" s="64"/>
      <c r="IB492" s="64"/>
      <c r="IC492" s="64"/>
      <c r="ID492" s="64"/>
      <c r="IE492" s="64"/>
      <c r="IF492" s="64"/>
      <c r="IG492" s="64"/>
      <c r="IH492" s="64"/>
      <c r="II492" s="64"/>
      <c r="IJ492" s="64"/>
      <c r="IK492" s="64"/>
      <c r="IL492" s="64"/>
      <c r="IM492" s="64"/>
      <c r="IN492" s="64"/>
      <c r="IO492" s="64"/>
      <c r="IP492" s="64"/>
      <c r="IQ492" s="64"/>
      <c r="IR492" s="64"/>
      <c r="IS492" s="64"/>
      <c r="IT492" s="64"/>
      <c r="IU492" s="64"/>
      <c r="IV492" s="64"/>
      <c r="IW492" s="64"/>
      <c r="IX492" s="64"/>
      <c r="IY492" s="64"/>
      <c r="IZ492" s="64"/>
      <c r="JA492" s="64"/>
      <c r="JB492" s="64"/>
      <c r="JC492" s="64"/>
      <c r="JD492" s="64"/>
      <c r="JE492" s="64"/>
      <c r="JF492" s="64"/>
      <c r="JG492" s="64"/>
      <c r="JH492" s="64"/>
      <c r="JI492" s="64"/>
    </row>
    <row r="493" spans="1:269" s="920" customFormat="1" x14ac:dyDescent="0.2">
      <c r="A493" s="116"/>
      <c r="B493" s="64"/>
      <c r="C493" s="64"/>
      <c r="D493" s="64"/>
      <c r="E493" s="64"/>
      <c r="F493" s="64"/>
      <c r="G493" s="64"/>
      <c r="H493" s="64"/>
      <c r="I493" s="64"/>
      <c r="J493" s="116"/>
      <c r="K493" s="116"/>
      <c r="L493" s="116"/>
      <c r="M493" s="116"/>
      <c r="N493" s="116"/>
      <c r="O493" s="116"/>
      <c r="P493" s="116"/>
      <c r="Q493" s="102"/>
      <c r="R493" s="102"/>
      <c r="S493" s="102"/>
      <c r="T493" s="102"/>
      <c r="U493" s="913"/>
      <c r="V493" s="114"/>
      <c r="W493" s="805"/>
      <c r="X493" s="805"/>
      <c r="Y493" s="805"/>
      <c r="Z493" s="914"/>
      <c r="AA493" s="102"/>
      <c r="AB493" s="102"/>
      <c r="AC493" s="102"/>
      <c r="AD493" s="102"/>
      <c r="AE493" s="102"/>
      <c r="AF493" s="102"/>
      <c r="AG493" s="102"/>
      <c r="AH493" s="102"/>
      <c r="AI493" s="102"/>
      <c r="AJ493" s="906"/>
      <c r="AK493" s="102"/>
      <c r="AL493" s="915"/>
      <c r="AM493" s="915"/>
      <c r="AN493" s="114"/>
      <c r="AO493" s="64"/>
      <c r="AP493" s="64"/>
      <c r="AQ493" s="64"/>
      <c r="AR493" s="916"/>
      <c r="AS493" s="916"/>
      <c r="AT493" s="916"/>
      <c r="AU493" s="917"/>
      <c r="AV493" s="917"/>
      <c r="AW493" s="917"/>
      <c r="AX493" s="918"/>
      <c r="AY493" s="916"/>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917"/>
      <c r="CA493" s="917"/>
      <c r="CB493" s="64"/>
      <c r="CC493" s="919"/>
      <c r="CD493" s="919"/>
      <c r="CE493" s="64"/>
      <c r="CF493" s="528"/>
      <c r="CG493" s="529"/>
      <c r="CH493" s="64"/>
      <c r="CI493" s="64"/>
      <c r="CJ493" s="64"/>
      <c r="CK493" s="64"/>
      <c r="CL493" s="64"/>
      <c r="CM493" s="64"/>
      <c r="CN493" s="64"/>
      <c r="CO493" s="64"/>
      <c r="CP493" s="64"/>
      <c r="CQ493" s="64"/>
      <c r="CR493" s="64"/>
      <c r="CS493" s="64"/>
      <c r="CT493" s="64"/>
      <c r="CU493" s="64"/>
      <c r="CV493" s="64"/>
      <c r="CW493" s="64"/>
      <c r="CX493" s="64"/>
      <c r="CY493" s="1011"/>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c r="FC493" s="64"/>
      <c r="FD493" s="64"/>
      <c r="FE493" s="64"/>
      <c r="FF493" s="64"/>
      <c r="FG493" s="64"/>
      <c r="FH493" s="64"/>
      <c r="FI493" s="64"/>
      <c r="FJ493" s="64"/>
      <c r="FK493" s="64"/>
      <c r="FL493" s="64"/>
      <c r="FM493" s="64"/>
      <c r="FN493" s="64"/>
      <c r="FO493" s="64"/>
      <c r="FP493" s="64"/>
      <c r="FQ493" s="64"/>
      <c r="FR493" s="64"/>
      <c r="FS493" s="64"/>
      <c r="FT493" s="64"/>
      <c r="FU493" s="64"/>
      <c r="FV493" s="64"/>
      <c r="FW493" s="64"/>
      <c r="FX493" s="64"/>
      <c r="FY493" s="64"/>
      <c r="FZ493" s="64"/>
      <c r="GA493" s="64"/>
      <c r="GB493" s="64"/>
      <c r="GC493" s="64"/>
      <c r="GD493" s="64"/>
      <c r="GE493" s="64"/>
      <c r="GF493" s="64"/>
      <c r="GG493" s="64"/>
      <c r="GH493" s="64"/>
      <c r="GI493" s="64"/>
      <c r="GJ493" s="64"/>
      <c r="GK493" s="64"/>
      <c r="GL493" s="64"/>
      <c r="GM493" s="64"/>
      <c r="GN493" s="64"/>
      <c r="GO493" s="64"/>
      <c r="GP493" s="64"/>
      <c r="GQ493" s="64"/>
      <c r="GR493" s="64"/>
      <c r="GS493" s="64"/>
      <c r="GT493" s="64"/>
      <c r="GU493" s="64"/>
      <c r="GV493" s="64"/>
      <c r="GW493" s="64"/>
      <c r="GX493" s="64"/>
      <c r="GY493" s="64"/>
      <c r="GZ493" s="64"/>
      <c r="HA493" s="64"/>
      <c r="HB493" s="64"/>
      <c r="HC493" s="64"/>
      <c r="HD493" s="64"/>
      <c r="HE493" s="64"/>
      <c r="HF493" s="64"/>
      <c r="HG493" s="64"/>
      <c r="HH493" s="64"/>
      <c r="HI493" s="64"/>
      <c r="HJ493" s="64"/>
      <c r="HK493" s="64"/>
      <c r="HL493" s="64"/>
      <c r="HM493" s="64"/>
      <c r="HN493" s="64"/>
      <c r="HO493" s="64"/>
      <c r="HP493" s="64"/>
      <c r="HQ493" s="64"/>
      <c r="HR493" s="64"/>
      <c r="HS493" s="64"/>
      <c r="HT493" s="64"/>
      <c r="HU493" s="64"/>
      <c r="HV493" s="64"/>
      <c r="HW493" s="64"/>
      <c r="HX493" s="64"/>
      <c r="HY493" s="64"/>
      <c r="HZ493" s="64"/>
      <c r="IA493" s="64"/>
      <c r="IB493" s="64"/>
      <c r="IC493" s="64"/>
      <c r="ID493" s="64"/>
      <c r="IE493" s="64"/>
      <c r="IF493" s="64"/>
      <c r="IG493" s="64"/>
      <c r="IH493" s="64"/>
      <c r="II493" s="64"/>
      <c r="IJ493" s="64"/>
      <c r="IK493" s="64"/>
      <c r="IL493" s="64"/>
      <c r="IM493" s="64"/>
      <c r="IN493" s="64"/>
      <c r="IO493" s="64"/>
      <c r="IP493" s="64"/>
      <c r="IQ493" s="64"/>
      <c r="IR493" s="64"/>
      <c r="IS493" s="64"/>
      <c r="IT493" s="64"/>
      <c r="IU493" s="64"/>
      <c r="IV493" s="64"/>
      <c r="IW493" s="64"/>
      <c r="IX493" s="64"/>
      <c r="IY493" s="64"/>
      <c r="IZ493" s="64"/>
      <c r="JA493" s="64"/>
      <c r="JB493" s="64"/>
      <c r="JC493" s="64"/>
      <c r="JD493" s="64"/>
      <c r="JE493" s="64"/>
      <c r="JF493" s="64"/>
      <c r="JG493" s="64"/>
      <c r="JH493" s="64"/>
      <c r="JI493" s="64"/>
    </row>
    <row r="494" spans="1:269" s="920" customFormat="1" x14ac:dyDescent="0.2">
      <c r="A494" s="116"/>
      <c r="B494" s="64"/>
      <c r="C494" s="64"/>
      <c r="D494" s="64"/>
      <c r="E494" s="64"/>
      <c r="F494" s="64"/>
      <c r="G494" s="64"/>
      <c r="H494" s="64"/>
      <c r="I494" s="64"/>
      <c r="J494" s="116"/>
      <c r="K494" s="116"/>
      <c r="L494" s="116"/>
      <c r="M494" s="116"/>
      <c r="N494" s="116"/>
      <c r="O494" s="116"/>
      <c r="P494" s="116"/>
      <c r="Q494" s="102"/>
      <c r="R494" s="102"/>
      <c r="S494" s="102"/>
      <c r="T494" s="102"/>
      <c r="U494" s="913"/>
      <c r="V494" s="114"/>
      <c r="W494" s="805"/>
      <c r="X494" s="805"/>
      <c r="Y494" s="805"/>
      <c r="Z494" s="914"/>
      <c r="AA494" s="102"/>
      <c r="AB494" s="102"/>
      <c r="AC494" s="102"/>
      <c r="AD494" s="102"/>
      <c r="AE494" s="102"/>
      <c r="AF494" s="102"/>
      <c r="AG494" s="102"/>
      <c r="AH494" s="102"/>
      <c r="AI494" s="102"/>
      <c r="AJ494" s="906"/>
      <c r="AK494" s="102"/>
      <c r="AL494" s="915"/>
      <c r="AM494" s="915"/>
      <c r="AN494" s="114"/>
      <c r="AO494" s="64"/>
      <c r="AP494" s="64"/>
      <c r="AQ494" s="64"/>
      <c r="AR494" s="916"/>
      <c r="AS494" s="916"/>
      <c r="AT494" s="916"/>
      <c r="AU494" s="917"/>
      <c r="AV494" s="917"/>
      <c r="AW494" s="917"/>
      <c r="AX494" s="918"/>
      <c r="AY494" s="916"/>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917"/>
      <c r="CA494" s="917"/>
      <c r="CB494" s="64"/>
      <c r="CC494" s="919"/>
      <c r="CD494" s="919"/>
      <c r="CE494" s="64"/>
      <c r="CF494" s="528"/>
      <c r="CG494" s="529"/>
      <c r="CH494" s="64"/>
      <c r="CI494" s="64"/>
      <c r="CJ494" s="64"/>
      <c r="CK494" s="64"/>
      <c r="CL494" s="64"/>
      <c r="CM494" s="64"/>
      <c r="CN494" s="64"/>
      <c r="CO494" s="64"/>
      <c r="CP494" s="64"/>
      <c r="CQ494" s="64"/>
      <c r="CR494" s="64"/>
      <c r="CS494" s="64"/>
      <c r="CT494" s="64"/>
      <c r="CU494" s="64"/>
      <c r="CV494" s="64"/>
      <c r="CW494" s="64"/>
      <c r="CX494" s="64"/>
      <c r="CY494" s="1011"/>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c r="FC494" s="64"/>
      <c r="FD494" s="64"/>
      <c r="FE494" s="64"/>
      <c r="FF494" s="64"/>
      <c r="FG494" s="64"/>
      <c r="FH494" s="64"/>
      <c r="FI494" s="64"/>
      <c r="FJ494" s="64"/>
      <c r="FK494" s="64"/>
      <c r="FL494" s="64"/>
      <c r="FM494" s="64"/>
      <c r="FN494" s="64"/>
      <c r="FO494" s="64"/>
      <c r="FP494" s="64"/>
      <c r="FQ494" s="64"/>
      <c r="FR494" s="64"/>
      <c r="FS494" s="64"/>
      <c r="FT494" s="64"/>
      <c r="FU494" s="64"/>
      <c r="FV494" s="64"/>
      <c r="FW494" s="64"/>
      <c r="FX494" s="64"/>
      <c r="FY494" s="64"/>
      <c r="FZ494" s="64"/>
      <c r="GA494" s="64"/>
      <c r="GB494" s="64"/>
      <c r="GC494" s="64"/>
      <c r="GD494" s="64"/>
      <c r="GE494" s="64"/>
      <c r="GF494" s="64"/>
      <c r="GG494" s="64"/>
      <c r="GH494" s="64"/>
      <c r="GI494" s="64"/>
      <c r="GJ494" s="64"/>
      <c r="GK494" s="64"/>
      <c r="GL494" s="64"/>
      <c r="GM494" s="64"/>
      <c r="GN494" s="64"/>
      <c r="GO494" s="64"/>
      <c r="GP494" s="64"/>
      <c r="GQ494" s="64"/>
      <c r="GR494" s="64"/>
      <c r="GS494" s="64"/>
      <c r="GT494" s="64"/>
      <c r="GU494" s="64"/>
      <c r="GV494" s="64"/>
      <c r="GW494" s="64"/>
      <c r="GX494" s="64"/>
      <c r="GY494" s="64"/>
      <c r="GZ494" s="64"/>
      <c r="HA494" s="64"/>
      <c r="HB494" s="64"/>
      <c r="HC494" s="64"/>
      <c r="HD494" s="64"/>
      <c r="HE494" s="64"/>
      <c r="HF494" s="64"/>
      <c r="HG494" s="64"/>
      <c r="HH494" s="64"/>
      <c r="HI494" s="64"/>
      <c r="HJ494" s="64"/>
      <c r="HK494" s="64"/>
      <c r="HL494" s="64"/>
      <c r="HM494" s="64"/>
      <c r="HN494" s="64"/>
      <c r="HO494" s="64"/>
      <c r="HP494" s="64"/>
      <c r="HQ494" s="64"/>
      <c r="HR494" s="64"/>
      <c r="HS494" s="64"/>
      <c r="HT494" s="64"/>
      <c r="HU494" s="64"/>
      <c r="HV494" s="64"/>
      <c r="HW494" s="64"/>
      <c r="HX494" s="64"/>
      <c r="HY494" s="64"/>
      <c r="HZ494" s="64"/>
      <c r="IA494" s="64"/>
      <c r="IB494" s="64"/>
      <c r="IC494" s="64"/>
      <c r="ID494" s="64"/>
      <c r="IE494" s="64"/>
      <c r="IF494" s="64"/>
      <c r="IG494" s="64"/>
      <c r="IH494" s="64"/>
      <c r="II494" s="64"/>
      <c r="IJ494" s="64"/>
      <c r="IK494" s="64"/>
      <c r="IL494" s="64"/>
      <c r="IM494" s="64"/>
      <c r="IN494" s="64"/>
      <c r="IO494" s="64"/>
      <c r="IP494" s="64"/>
      <c r="IQ494" s="64"/>
      <c r="IR494" s="64"/>
      <c r="IS494" s="64"/>
      <c r="IT494" s="64"/>
      <c r="IU494" s="64"/>
      <c r="IV494" s="64"/>
      <c r="IW494" s="64"/>
      <c r="IX494" s="64"/>
      <c r="IY494" s="64"/>
      <c r="IZ494" s="64"/>
      <c r="JA494" s="64"/>
      <c r="JB494" s="64"/>
      <c r="JC494" s="64"/>
      <c r="JD494" s="64"/>
      <c r="JE494" s="64"/>
      <c r="JF494" s="64"/>
      <c r="JG494" s="64"/>
      <c r="JH494" s="64"/>
      <c r="JI494" s="64"/>
    </row>
    <row r="495" spans="1:269" s="920" customFormat="1" x14ac:dyDescent="0.2">
      <c r="A495" s="116"/>
      <c r="B495" s="64"/>
      <c r="C495" s="64"/>
      <c r="D495" s="64"/>
      <c r="E495" s="64"/>
      <c r="F495" s="64"/>
      <c r="G495" s="64"/>
      <c r="H495" s="64"/>
      <c r="I495" s="64"/>
      <c r="J495" s="116"/>
      <c r="K495" s="116"/>
      <c r="L495" s="116"/>
      <c r="M495" s="116"/>
      <c r="N495" s="116"/>
      <c r="O495" s="116"/>
      <c r="P495" s="116"/>
      <c r="Q495" s="102"/>
      <c r="R495" s="102"/>
      <c r="S495" s="102"/>
      <c r="T495" s="102"/>
      <c r="U495" s="913"/>
      <c r="V495" s="114"/>
      <c r="W495" s="805"/>
      <c r="X495" s="805"/>
      <c r="Y495" s="805"/>
      <c r="Z495" s="914"/>
      <c r="AA495" s="102"/>
      <c r="AB495" s="102"/>
      <c r="AC495" s="102"/>
      <c r="AD495" s="102"/>
      <c r="AE495" s="102"/>
      <c r="AF495" s="102"/>
      <c r="AG495" s="102"/>
      <c r="AH495" s="102"/>
      <c r="AI495" s="102"/>
      <c r="AJ495" s="906"/>
      <c r="AK495" s="102"/>
      <c r="AL495" s="915"/>
      <c r="AM495" s="915"/>
      <c r="AN495" s="114"/>
      <c r="AO495" s="64"/>
      <c r="AP495" s="64"/>
      <c r="AQ495" s="64"/>
      <c r="AR495" s="916"/>
      <c r="AS495" s="916"/>
      <c r="AT495" s="916"/>
      <c r="AU495" s="917"/>
      <c r="AV495" s="917"/>
      <c r="AW495" s="917"/>
      <c r="AX495" s="918"/>
      <c r="AY495" s="916"/>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917"/>
      <c r="CA495" s="917"/>
      <c r="CB495" s="64"/>
      <c r="CC495" s="919"/>
      <c r="CD495" s="919"/>
      <c r="CE495" s="64"/>
      <c r="CF495" s="528"/>
      <c r="CG495" s="529"/>
      <c r="CH495" s="64"/>
      <c r="CI495" s="64"/>
      <c r="CJ495" s="64"/>
      <c r="CK495" s="64"/>
      <c r="CL495" s="64"/>
      <c r="CM495" s="64"/>
      <c r="CN495" s="64"/>
      <c r="CO495" s="64"/>
      <c r="CP495" s="64"/>
      <c r="CQ495" s="64"/>
      <c r="CR495" s="64"/>
      <c r="CS495" s="64"/>
      <c r="CT495" s="64"/>
      <c r="CU495" s="64"/>
      <c r="CV495" s="64"/>
      <c r="CW495" s="64"/>
      <c r="CX495" s="64"/>
      <c r="CY495" s="1011"/>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c r="FC495" s="64"/>
      <c r="FD495" s="64"/>
      <c r="FE495" s="64"/>
      <c r="FF495" s="64"/>
      <c r="FG495" s="64"/>
      <c r="FH495" s="64"/>
      <c r="FI495" s="64"/>
      <c r="FJ495" s="64"/>
      <c r="FK495" s="64"/>
      <c r="FL495" s="64"/>
      <c r="FM495" s="64"/>
      <c r="FN495" s="64"/>
      <c r="FO495" s="64"/>
      <c r="FP495" s="64"/>
      <c r="FQ495" s="64"/>
      <c r="FR495" s="64"/>
      <c r="FS495" s="64"/>
      <c r="FT495" s="64"/>
      <c r="FU495" s="64"/>
      <c r="FV495" s="64"/>
      <c r="FW495" s="64"/>
      <c r="FX495" s="64"/>
      <c r="FY495" s="64"/>
      <c r="FZ495" s="64"/>
      <c r="GA495" s="64"/>
      <c r="GB495" s="64"/>
      <c r="GC495" s="64"/>
      <c r="GD495" s="64"/>
      <c r="GE495" s="64"/>
      <c r="GF495" s="64"/>
      <c r="GG495" s="64"/>
      <c r="GH495" s="64"/>
      <c r="GI495" s="64"/>
      <c r="GJ495" s="64"/>
      <c r="GK495" s="64"/>
      <c r="GL495" s="64"/>
      <c r="GM495" s="64"/>
      <c r="GN495" s="64"/>
      <c r="GO495" s="64"/>
      <c r="GP495" s="64"/>
      <c r="GQ495" s="64"/>
      <c r="GR495" s="64"/>
      <c r="GS495" s="64"/>
      <c r="GT495" s="64"/>
      <c r="GU495" s="64"/>
      <c r="GV495" s="64"/>
      <c r="GW495" s="64"/>
      <c r="GX495" s="64"/>
      <c r="GY495" s="64"/>
      <c r="GZ495" s="64"/>
      <c r="HA495" s="64"/>
      <c r="HB495" s="64"/>
      <c r="HC495" s="64"/>
      <c r="HD495" s="64"/>
      <c r="HE495" s="64"/>
      <c r="HF495" s="64"/>
      <c r="HG495" s="64"/>
      <c r="HH495" s="64"/>
      <c r="HI495" s="64"/>
      <c r="HJ495" s="64"/>
      <c r="HK495" s="64"/>
      <c r="HL495" s="64"/>
      <c r="HM495" s="64"/>
      <c r="HN495" s="64"/>
      <c r="HO495" s="64"/>
      <c r="HP495" s="64"/>
      <c r="HQ495" s="64"/>
      <c r="HR495" s="64"/>
      <c r="HS495" s="64"/>
      <c r="HT495" s="64"/>
      <c r="HU495" s="64"/>
      <c r="HV495" s="64"/>
      <c r="HW495" s="64"/>
      <c r="HX495" s="64"/>
      <c r="HY495" s="64"/>
      <c r="HZ495" s="64"/>
      <c r="IA495" s="64"/>
      <c r="IB495" s="64"/>
      <c r="IC495" s="64"/>
      <c r="ID495" s="64"/>
      <c r="IE495" s="64"/>
      <c r="IF495" s="64"/>
      <c r="IG495" s="64"/>
      <c r="IH495" s="64"/>
      <c r="II495" s="64"/>
      <c r="IJ495" s="64"/>
      <c r="IK495" s="64"/>
      <c r="IL495" s="64"/>
      <c r="IM495" s="64"/>
      <c r="IN495" s="64"/>
      <c r="IO495" s="64"/>
      <c r="IP495" s="64"/>
      <c r="IQ495" s="64"/>
      <c r="IR495" s="64"/>
      <c r="IS495" s="64"/>
      <c r="IT495" s="64"/>
      <c r="IU495" s="64"/>
      <c r="IV495" s="64"/>
      <c r="IW495" s="64"/>
      <c r="IX495" s="64"/>
      <c r="IY495" s="64"/>
      <c r="IZ495" s="64"/>
      <c r="JA495" s="64"/>
      <c r="JB495" s="64"/>
      <c r="JC495" s="64"/>
      <c r="JD495" s="64"/>
      <c r="JE495" s="64"/>
      <c r="JF495" s="64"/>
      <c r="JG495" s="64"/>
      <c r="JH495" s="64"/>
      <c r="JI495" s="64"/>
    </row>
    <row r="496" spans="1:269" s="920" customFormat="1" x14ac:dyDescent="0.2">
      <c r="A496" s="116"/>
      <c r="B496" s="64"/>
      <c r="C496" s="64"/>
      <c r="D496" s="64"/>
      <c r="E496" s="64"/>
      <c r="F496" s="64"/>
      <c r="G496" s="64"/>
      <c r="H496" s="64"/>
      <c r="I496" s="64"/>
      <c r="J496" s="116"/>
      <c r="K496" s="116"/>
      <c r="L496" s="116"/>
      <c r="M496" s="116"/>
      <c r="N496" s="116"/>
      <c r="O496" s="116"/>
      <c r="P496" s="116"/>
      <c r="Q496" s="102"/>
      <c r="R496" s="102"/>
      <c r="S496" s="102"/>
      <c r="T496" s="102"/>
      <c r="U496" s="913"/>
      <c r="V496" s="114"/>
      <c r="W496" s="805"/>
      <c r="X496" s="805"/>
      <c r="Y496" s="805"/>
      <c r="Z496" s="914"/>
      <c r="AA496" s="102"/>
      <c r="AB496" s="102"/>
      <c r="AC496" s="102"/>
      <c r="AD496" s="102"/>
      <c r="AE496" s="102"/>
      <c r="AF496" s="102"/>
      <c r="AG496" s="102"/>
      <c r="AH496" s="102"/>
      <c r="AI496" s="102"/>
      <c r="AJ496" s="906"/>
      <c r="AK496" s="102"/>
      <c r="AL496" s="915"/>
      <c r="AM496" s="915"/>
      <c r="AN496" s="114"/>
      <c r="AO496" s="64"/>
      <c r="AP496" s="64"/>
      <c r="AQ496" s="64"/>
      <c r="AR496" s="916"/>
      <c r="AS496" s="916"/>
      <c r="AT496" s="916"/>
      <c r="AU496" s="917"/>
      <c r="AV496" s="917"/>
      <c r="AW496" s="917"/>
      <c r="AX496" s="918"/>
      <c r="AY496" s="916"/>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917"/>
      <c r="CA496" s="917"/>
      <c r="CB496" s="64"/>
      <c r="CC496" s="919"/>
      <c r="CD496" s="919"/>
      <c r="CE496" s="64"/>
      <c r="CF496" s="528"/>
      <c r="CG496" s="529"/>
      <c r="CH496" s="64"/>
      <c r="CI496" s="64"/>
      <c r="CJ496" s="64"/>
      <c r="CK496" s="64"/>
      <c r="CL496" s="64"/>
      <c r="CM496" s="64"/>
      <c r="CN496" s="64"/>
      <c r="CO496" s="64"/>
      <c r="CP496" s="64"/>
      <c r="CQ496" s="64"/>
      <c r="CR496" s="64"/>
      <c r="CS496" s="64"/>
      <c r="CT496" s="64"/>
      <c r="CU496" s="64"/>
      <c r="CV496" s="64"/>
      <c r="CW496" s="64"/>
      <c r="CX496" s="64"/>
      <c r="CY496" s="1011"/>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c r="FC496" s="64"/>
      <c r="FD496" s="64"/>
      <c r="FE496" s="64"/>
      <c r="FF496" s="64"/>
      <c r="FG496" s="64"/>
      <c r="FH496" s="64"/>
      <c r="FI496" s="64"/>
      <c r="FJ496" s="64"/>
      <c r="FK496" s="64"/>
      <c r="FL496" s="64"/>
      <c r="FM496" s="64"/>
      <c r="FN496" s="64"/>
      <c r="FO496" s="64"/>
      <c r="FP496" s="64"/>
      <c r="FQ496" s="64"/>
      <c r="FR496" s="64"/>
      <c r="FS496" s="64"/>
      <c r="FT496" s="64"/>
      <c r="FU496" s="64"/>
      <c r="FV496" s="64"/>
      <c r="FW496" s="64"/>
      <c r="FX496" s="64"/>
      <c r="FY496" s="64"/>
      <c r="FZ496" s="64"/>
      <c r="GA496" s="64"/>
      <c r="GB496" s="64"/>
      <c r="GC496" s="64"/>
      <c r="GD496" s="64"/>
      <c r="GE496" s="64"/>
      <c r="GF496" s="64"/>
      <c r="GG496" s="64"/>
      <c r="GH496" s="64"/>
      <c r="GI496" s="64"/>
      <c r="GJ496" s="64"/>
      <c r="GK496" s="64"/>
      <c r="GL496" s="64"/>
      <c r="GM496" s="64"/>
      <c r="GN496" s="64"/>
      <c r="GO496" s="64"/>
      <c r="GP496" s="64"/>
      <c r="GQ496" s="64"/>
      <c r="GR496" s="64"/>
      <c r="GS496" s="64"/>
      <c r="GT496" s="64"/>
      <c r="GU496" s="64"/>
      <c r="GV496" s="64"/>
      <c r="GW496" s="64"/>
      <c r="GX496" s="64"/>
      <c r="GY496" s="64"/>
      <c r="GZ496" s="64"/>
      <c r="HA496" s="64"/>
      <c r="HB496" s="64"/>
      <c r="HC496" s="64"/>
      <c r="HD496" s="64"/>
      <c r="HE496" s="64"/>
      <c r="HF496" s="64"/>
      <c r="HG496" s="64"/>
      <c r="HH496" s="64"/>
      <c r="HI496" s="64"/>
      <c r="HJ496" s="64"/>
      <c r="HK496" s="64"/>
      <c r="HL496" s="64"/>
      <c r="HM496" s="64"/>
      <c r="HN496" s="64"/>
      <c r="HO496" s="64"/>
      <c r="HP496" s="64"/>
      <c r="HQ496" s="64"/>
      <c r="HR496" s="64"/>
      <c r="HS496" s="64"/>
      <c r="HT496" s="64"/>
      <c r="HU496" s="64"/>
      <c r="HV496" s="64"/>
      <c r="HW496" s="64"/>
      <c r="HX496" s="64"/>
      <c r="HY496" s="64"/>
      <c r="HZ496" s="64"/>
      <c r="IA496" s="64"/>
      <c r="IB496" s="64"/>
      <c r="IC496" s="64"/>
      <c r="ID496" s="64"/>
      <c r="IE496" s="64"/>
      <c r="IF496" s="64"/>
      <c r="IG496" s="64"/>
      <c r="IH496" s="64"/>
      <c r="II496" s="64"/>
      <c r="IJ496" s="64"/>
      <c r="IK496" s="64"/>
      <c r="IL496" s="64"/>
      <c r="IM496" s="64"/>
      <c r="IN496" s="64"/>
      <c r="IO496" s="64"/>
      <c r="IP496" s="64"/>
      <c r="IQ496" s="64"/>
      <c r="IR496" s="64"/>
      <c r="IS496" s="64"/>
      <c r="IT496" s="64"/>
      <c r="IU496" s="64"/>
      <c r="IV496" s="64"/>
      <c r="IW496" s="64"/>
      <c r="IX496" s="64"/>
      <c r="IY496" s="64"/>
      <c r="IZ496" s="64"/>
      <c r="JA496" s="64"/>
      <c r="JB496" s="64"/>
      <c r="JC496" s="64"/>
      <c r="JD496" s="64"/>
      <c r="JE496" s="64"/>
      <c r="JF496" s="64"/>
      <c r="JG496" s="64"/>
      <c r="JH496" s="64"/>
      <c r="JI496" s="64"/>
    </row>
    <row r="497" spans="1:269" s="920" customFormat="1" x14ac:dyDescent="0.2">
      <c r="A497" s="116"/>
      <c r="B497" s="64"/>
      <c r="C497" s="64"/>
      <c r="D497" s="64"/>
      <c r="E497" s="64"/>
      <c r="F497" s="64"/>
      <c r="G497" s="64"/>
      <c r="H497" s="64"/>
      <c r="I497" s="64"/>
      <c r="J497" s="116"/>
      <c r="K497" s="116"/>
      <c r="L497" s="116"/>
      <c r="M497" s="116"/>
      <c r="N497" s="116"/>
      <c r="O497" s="116"/>
      <c r="P497" s="116"/>
      <c r="Q497" s="102"/>
      <c r="R497" s="102"/>
      <c r="S497" s="102"/>
      <c r="T497" s="102"/>
      <c r="U497" s="913"/>
      <c r="V497" s="114"/>
      <c r="W497" s="805"/>
      <c r="X497" s="805"/>
      <c r="Y497" s="805"/>
      <c r="Z497" s="914"/>
      <c r="AA497" s="102"/>
      <c r="AB497" s="102"/>
      <c r="AC497" s="102"/>
      <c r="AD497" s="102"/>
      <c r="AE497" s="102"/>
      <c r="AF497" s="102"/>
      <c r="AG497" s="102"/>
      <c r="AH497" s="102"/>
      <c r="AI497" s="102"/>
      <c r="AJ497" s="906"/>
      <c r="AK497" s="102"/>
      <c r="AL497" s="915"/>
      <c r="AM497" s="915"/>
      <c r="AN497" s="114"/>
      <c r="AO497" s="64"/>
      <c r="AP497" s="64"/>
      <c r="AQ497" s="64"/>
      <c r="AR497" s="916"/>
      <c r="AS497" s="916"/>
      <c r="AT497" s="916"/>
      <c r="AU497" s="917"/>
      <c r="AV497" s="917"/>
      <c r="AW497" s="917"/>
      <c r="AX497" s="918"/>
      <c r="AY497" s="916"/>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917"/>
      <c r="CA497" s="917"/>
      <c r="CB497" s="64"/>
      <c r="CC497" s="919"/>
      <c r="CD497" s="919"/>
      <c r="CE497" s="64"/>
      <c r="CF497" s="528"/>
      <c r="CG497" s="529"/>
      <c r="CH497" s="64"/>
      <c r="CI497" s="64"/>
      <c r="CJ497" s="64"/>
      <c r="CK497" s="64"/>
      <c r="CL497" s="64"/>
      <c r="CM497" s="64"/>
      <c r="CN497" s="64"/>
      <c r="CO497" s="64"/>
      <c r="CP497" s="64"/>
      <c r="CQ497" s="64"/>
      <c r="CR497" s="64"/>
      <c r="CS497" s="64"/>
      <c r="CT497" s="64"/>
      <c r="CU497" s="64"/>
      <c r="CV497" s="64"/>
      <c r="CW497" s="64"/>
      <c r="CX497" s="64"/>
      <c r="CY497" s="1011"/>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c r="FC497" s="64"/>
      <c r="FD497" s="64"/>
      <c r="FE497" s="64"/>
      <c r="FF497" s="64"/>
      <c r="FG497" s="64"/>
      <c r="FH497" s="64"/>
      <c r="FI497" s="64"/>
      <c r="FJ497" s="64"/>
      <c r="FK497" s="64"/>
      <c r="FL497" s="64"/>
      <c r="FM497" s="64"/>
      <c r="FN497" s="64"/>
      <c r="FO497" s="64"/>
      <c r="FP497" s="64"/>
      <c r="FQ497" s="64"/>
      <c r="FR497" s="64"/>
      <c r="FS497" s="64"/>
      <c r="FT497" s="64"/>
      <c r="FU497" s="64"/>
      <c r="FV497" s="64"/>
      <c r="FW497" s="64"/>
      <c r="FX497" s="64"/>
      <c r="FY497" s="64"/>
      <c r="FZ497" s="64"/>
      <c r="GA497" s="64"/>
      <c r="GB497" s="64"/>
      <c r="GC497" s="64"/>
      <c r="GD497" s="64"/>
      <c r="GE497" s="64"/>
      <c r="GF497" s="64"/>
      <c r="GG497" s="64"/>
      <c r="GH497" s="64"/>
      <c r="GI497" s="64"/>
      <c r="GJ497" s="64"/>
      <c r="GK497" s="64"/>
      <c r="GL497" s="64"/>
      <c r="GM497" s="64"/>
      <c r="GN497" s="64"/>
      <c r="GO497" s="64"/>
      <c r="GP497" s="64"/>
      <c r="GQ497" s="64"/>
      <c r="GR497" s="64"/>
      <c r="GS497" s="64"/>
      <c r="GT497" s="64"/>
      <c r="GU497" s="64"/>
      <c r="GV497" s="64"/>
      <c r="GW497" s="64"/>
      <c r="GX497" s="64"/>
      <c r="GY497" s="64"/>
      <c r="GZ497" s="64"/>
      <c r="HA497" s="64"/>
      <c r="HB497" s="64"/>
      <c r="HC497" s="64"/>
      <c r="HD497" s="64"/>
      <c r="HE497" s="64"/>
      <c r="HF497" s="64"/>
      <c r="HG497" s="64"/>
      <c r="HH497" s="64"/>
      <c r="HI497" s="64"/>
      <c r="HJ497" s="64"/>
      <c r="HK497" s="64"/>
      <c r="HL497" s="64"/>
      <c r="HM497" s="64"/>
      <c r="HN497" s="64"/>
      <c r="HO497" s="64"/>
      <c r="HP497" s="64"/>
      <c r="HQ497" s="64"/>
      <c r="HR497" s="64"/>
      <c r="HS497" s="64"/>
      <c r="HT497" s="64"/>
      <c r="HU497" s="64"/>
      <c r="HV497" s="64"/>
      <c r="HW497" s="64"/>
      <c r="HX497" s="64"/>
      <c r="HY497" s="64"/>
      <c r="HZ497" s="64"/>
      <c r="IA497" s="64"/>
      <c r="IB497" s="64"/>
      <c r="IC497" s="64"/>
      <c r="ID497" s="64"/>
      <c r="IE497" s="64"/>
      <c r="IF497" s="64"/>
      <c r="IG497" s="64"/>
      <c r="IH497" s="64"/>
      <c r="II497" s="64"/>
      <c r="IJ497" s="64"/>
      <c r="IK497" s="64"/>
      <c r="IL497" s="64"/>
      <c r="IM497" s="64"/>
      <c r="IN497" s="64"/>
      <c r="IO497" s="64"/>
      <c r="IP497" s="64"/>
      <c r="IQ497" s="64"/>
      <c r="IR497" s="64"/>
      <c r="IS497" s="64"/>
      <c r="IT497" s="64"/>
      <c r="IU497" s="64"/>
      <c r="IV497" s="64"/>
      <c r="IW497" s="64"/>
      <c r="IX497" s="64"/>
      <c r="IY497" s="64"/>
      <c r="IZ497" s="64"/>
      <c r="JA497" s="64"/>
      <c r="JB497" s="64"/>
      <c r="JC497" s="64"/>
      <c r="JD497" s="64"/>
      <c r="JE497" s="64"/>
      <c r="JF497" s="64"/>
      <c r="JG497" s="64"/>
      <c r="JH497" s="64"/>
      <c r="JI497" s="64"/>
    </row>
    <row r="498" spans="1:269" s="920" customFormat="1" x14ac:dyDescent="0.2">
      <c r="A498" s="116"/>
      <c r="B498" s="64"/>
      <c r="C498" s="64"/>
      <c r="D498" s="64"/>
      <c r="E498" s="64"/>
      <c r="F498" s="64"/>
      <c r="G498" s="64"/>
      <c r="H498" s="64"/>
      <c r="I498" s="64"/>
      <c r="J498" s="116"/>
      <c r="K498" s="116"/>
      <c r="L498" s="116"/>
      <c r="M498" s="116"/>
      <c r="N498" s="116"/>
      <c r="O498" s="116"/>
      <c r="P498" s="116"/>
      <c r="Q498" s="102"/>
      <c r="R498" s="102"/>
      <c r="S498" s="102"/>
      <c r="T498" s="102"/>
      <c r="U498" s="913"/>
      <c r="V498" s="114"/>
      <c r="W498" s="805"/>
      <c r="X498" s="805"/>
      <c r="Y498" s="805"/>
      <c r="Z498" s="914"/>
      <c r="AA498" s="102"/>
      <c r="AB498" s="102"/>
      <c r="AC498" s="102"/>
      <c r="AD498" s="102"/>
      <c r="AE498" s="102"/>
      <c r="AF498" s="102"/>
      <c r="AG498" s="102"/>
      <c r="AH498" s="102"/>
      <c r="AI498" s="102"/>
      <c r="AJ498" s="906"/>
      <c r="AK498" s="102"/>
      <c r="AL498" s="915"/>
      <c r="AM498" s="915"/>
      <c r="AN498" s="114"/>
      <c r="AO498" s="64"/>
      <c r="AP498" s="64"/>
      <c r="AQ498" s="64"/>
      <c r="AR498" s="916"/>
      <c r="AS498" s="916"/>
      <c r="AT498" s="916"/>
      <c r="AU498" s="917"/>
      <c r="AV498" s="917"/>
      <c r="AW498" s="917"/>
      <c r="AX498" s="918"/>
      <c r="AY498" s="916"/>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917"/>
      <c r="CA498" s="917"/>
      <c r="CB498" s="64"/>
      <c r="CC498" s="919"/>
      <c r="CD498" s="919"/>
      <c r="CE498" s="64"/>
      <c r="CF498" s="528"/>
      <c r="CG498" s="529"/>
      <c r="CH498" s="64"/>
      <c r="CI498" s="64"/>
      <c r="CJ498" s="64"/>
      <c r="CK498" s="64"/>
      <c r="CL498" s="64"/>
      <c r="CM498" s="64"/>
      <c r="CN498" s="64"/>
      <c r="CO498" s="64"/>
      <c r="CP498" s="64"/>
      <c r="CQ498" s="64"/>
      <c r="CR498" s="64"/>
      <c r="CS498" s="64"/>
      <c r="CT498" s="64"/>
      <c r="CU498" s="64"/>
      <c r="CV498" s="64"/>
      <c r="CW498" s="64"/>
      <c r="CX498" s="64"/>
      <c r="CY498" s="1011"/>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c r="FC498" s="64"/>
      <c r="FD498" s="64"/>
      <c r="FE498" s="64"/>
      <c r="FF498" s="64"/>
      <c r="FG498" s="64"/>
      <c r="FH498" s="64"/>
      <c r="FI498" s="64"/>
      <c r="FJ498" s="64"/>
      <c r="FK498" s="64"/>
      <c r="FL498" s="64"/>
      <c r="FM498" s="64"/>
      <c r="FN498" s="64"/>
      <c r="FO498" s="64"/>
      <c r="FP498" s="64"/>
      <c r="FQ498" s="64"/>
      <c r="FR498" s="64"/>
      <c r="FS498" s="64"/>
      <c r="FT498" s="64"/>
      <c r="FU498" s="64"/>
      <c r="FV498" s="64"/>
      <c r="FW498" s="64"/>
      <c r="FX498" s="64"/>
      <c r="FY498" s="64"/>
      <c r="FZ498" s="64"/>
      <c r="GA498" s="64"/>
      <c r="GB498" s="64"/>
      <c r="GC498" s="64"/>
      <c r="GD498" s="64"/>
      <c r="GE498" s="64"/>
      <c r="GF498" s="64"/>
      <c r="GG498" s="64"/>
      <c r="GH498" s="64"/>
      <c r="GI498" s="64"/>
      <c r="GJ498" s="64"/>
      <c r="GK498" s="64"/>
      <c r="GL498" s="64"/>
      <c r="GM498" s="64"/>
      <c r="GN498" s="64"/>
      <c r="GO498" s="64"/>
      <c r="GP498" s="64"/>
      <c r="GQ498" s="64"/>
      <c r="GR498" s="64"/>
      <c r="GS498" s="64"/>
      <c r="GT498" s="64"/>
      <c r="GU498" s="64"/>
      <c r="GV498" s="64"/>
      <c r="GW498" s="64"/>
      <c r="GX498" s="64"/>
      <c r="GY498" s="64"/>
      <c r="GZ498" s="64"/>
      <c r="HA498" s="64"/>
      <c r="HB498" s="64"/>
      <c r="HC498" s="64"/>
      <c r="HD498" s="64"/>
      <c r="HE498" s="64"/>
      <c r="HF498" s="64"/>
      <c r="HG498" s="64"/>
      <c r="HH498" s="64"/>
      <c r="HI498" s="64"/>
      <c r="HJ498" s="64"/>
      <c r="HK498" s="64"/>
      <c r="HL498" s="64"/>
      <c r="HM498" s="64"/>
      <c r="HN498" s="64"/>
      <c r="HO498" s="64"/>
      <c r="HP498" s="64"/>
      <c r="HQ498" s="64"/>
      <c r="HR498" s="64"/>
      <c r="HS498" s="64"/>
      <c r="HT498" s="64"/>
      <c r="HU498" s="64"/>
      <c r="HV498" s="64"/>
      <c r="HW498" s="64"/>
      <c r="HX498" s="64"/>
      <c r="HY498" s="64"/>
      <c r="HZ498" s="64"/>
      <c r="IA498" s="64"/>
      <c r="IB498" s="64"/>
      <c r="IC498" s="64"/>
      <c r="ID498" s="64"/>
      <c r="IE498" s="64"/>
      <c r="IF498" s="64"/>
      <c r="IG498" s="64"/>
      <c r="IH498" s="64"/>
      <c r="II498" s="64"/>
      <c r="IJ498" s="64"/>
      <c r="IK498" s="64"/>
      <c r="IL498" s="64"/>
      <c r="IM498" s="64"/>
      <c r="IN498" s="64"/>
      <c r="IO498" s="64"/>
      <c r="IP498" s="64"/>
      <c r="IQ498" s="64"/>
      <c r="IR498" s="64"/>
      <c r="IS498" s="64"/>
      <c r="IT498" s="64"/>
      <c r="IU498" s="64"/>
      <c r="IV498" s="64"/>
      <c r="IW498" s="64"/>
      <c r="IX498" s="64"/>
      <c r="IY498" s="64"/>
      <c r="IZ498" s="64"/>
      <c r="JA498" s="64"/>
      <c r="JB498" s="64"/>
      <c r="JC498" s="64"/>
      <c r="JD498" s="64"/>
      <c r="JE498" s="64"/>
      <c r="JF498" s="64"/>
      <c r="JG498" s="64"/>
      <c r="JH498" s="64"/>
      <c r="JI498" s="64"/>
    </row>
    <row r="499" spans="1:269" s="920" customFormat="1" x14ac:dyDescent="0.2">
      <c r="A499" s="116"/>
      <c r="B499" s="64"/>
      <c r="C499" s="64"/>
      <c r="D499" s="64"/>
      <c r="E499" s="64"/>
      <c r="F499" s="64"/>
      <c r="G499" s="64"/>
      <c r="H499" s="64"/>
      <c r="I499" s="64"/>
      <c r="J499" s="116"/>
      <c r="K499" s="116"/>
      <c r="L499" s="116"/>
      <c r="M499" s="116"/>
      <c r="N499" s="116"/>
      <c r="O499" s="116"/>
      <c r="P499" s="116"/>
      <c r="Q499" s="102"/>
      <c r="R499" s="102"/>
      <c r="S499" s="102"/>
      <c r="T499" s="102"/>
      <c r="U499" s="913"/>
      <c r="V499" s="114"/>
      <c r="W499" s="805"/>
      <c r="X499" s="805"/>
      <c r="Y499" s="805"/>
      <c r="Z499" s="914"/>
      <c r="AA499" s="102"/>
      <c r="AB499" s="102"/>
      <c r="AC499" s="102"/>
      <c r="AD499" s="102"/>
      <c r="AE499" s="102"/>
      <c r="AF499" s="102"/>
      <c r="AG499" s="102"/>
      <c r="AH499" s="102"/>
      <c r="AI499" s="102"/>
      <c r="AJ499" s="906"/>
      <c r="AK499" s="102"/>
      <c r="AL499" s="915"/>
      <c r="AM499" s="915"/>
      <c r="AN499" s="114"/>
      <c r="AO499" s="64"/>
      <c r="AP499" s="64"/>
      <c r="AQ499" s="64"/>
      <c r="AR499" s="916"/>
      <c r="AS499" s="916"/>
      <c r="AT499" s="916"/>
      <c r="AU499" s="917"/>
      <c r="AV499" s="917"/>
      <c r="AW499" s="917"/>
      <c r="AX499" s="918"/>
      <c r="AY499" s="916"/>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917"/>
      <c r="CA499" s="917"/>
      <c r="CB499" s="64"/>
      <c r="CC499" s="919"/>
      <c r="CD499" s="919"/>
      <c r="CE499" s="64"/>
      <c r="CF499" s="528"/>
      <c r="CG499" s="529"/>
      <c r="CH499" s="64"/>
      <c r="CI499" s="64"/>
      <c r="CJ499" s="64"/>
      <c r="CK499" s="64"/>
      <c r="CL499" s="64"/>
      <c r="CM499" s="64"/>
      <c r="CN499" s="64"/>
      <c r="CO499" s="64"/>
      <c r="CP499" s="64"/>
      <c r="CQ499" s="64"/>
      <c r="CR499" s="64"/>
      <c r="CS499" s="64"/>
      <c r="CT499" s="64"/>
      <c r="CU499" s="64"/>
      <c r="CV499" s="64"/>
      <c r="CW499" s="64"/>
      <c r="CX499" s="64"/>
      <c r="CY499" s="1011"/>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c r="FC499" s="64"/>
      <c r="FD499" s="64"/>
      <c r="FE499" s="64"/>
      <c r="FF499" s="64"/>
      <c r="FG499" s="64"/>
      <c r="FH499" s="64"/>
      <c r="FI499" s="64"/>
      <c r="FJ499" s="64"/>
      <c r="FK499" s="64"/>
      <c r="FL499" s="64"/>
      <c r="FM499" s="64"/>
      <c r="FN499" s="64"/>
      <c r="FO499" s="64"/>
      <c r="FP499" s="64"/>
      <c r="FQ499" s="64"/>
      <c r="FR499" s="64"/>
      <c r="FS499" s="64"/>
      <c r="FT499" s="64"/>
      <c r="FU499" s="64"/>
      <c r="FV499" s="64"/>
      <c r="FW499" s="64"/>
      <c r="FX499" s="64"/>
      <c r="FY499" s="64"/>
      <c r="FZ499" s="64"/>
      <c r="GA499" s="64"/>
      <c r="GB499" s="64"/>
      <c r="GC499" s="64"/>
      <c r="GD499" s="64"/>
      <c r="GE499" s="64"/>
      <c r="GF499" s="64"/>
      <c r="GG499" s="64"/>
      <c r="GH499" s="64"/>
      <c r="GI499" s="64"/>
      <c r="GJ499" s="64"/>
      <c r="GK499" s="64"/>
      <c r="GL499" s="64"/>
      <c r="GM499" s="64"/>
      <c r="GN499" s="64"/>
      <c r="GO499" s="64"/>
      <c r="GP499" s="64"/>
      <c r="GQ499" s="64"/>
      <c r="GR499" s="64"/>
      <c r="GS499" s="64"/>
      <c r="GT499" s="64"/>
      <c r="GU499" s="64"/>
      <c r="GV499" s="64"/>
      <c r="GW499" s="64"/>
      <c r="GX499" s="64"/>
      <c r="GY499" s="64"/>
      <c r="GZ499" s="64"/>
      <c r="HA499" s="64"/>
      <c r="HB499" s="64"/>
      <c r="HC499" s="64"/>
      <c r="HD499" s="64"/>
      <c r="HE499" s="64"/>
      <c r="HF499" s="64"/>
      <c r="HG499" s="64"/>
      <c r="HH499" s="64"/>
      <c r="HI499" s="64"/>
      <c r="HJ499" s="64"/>
      <c r="HK499" s="64"/>
      <c r="HL499" s="64"/>
      <c r="HM499" s="64"/>
      <c r="HN499" s="64"/>
      <c r="HO499" s="64"/>
      <c r="HP499" s="64"/>
      <c r="HQ499" s="64"/>
      <c r="HR499" s="64"/>
      <c r="HS499" s="64"/>
      <c r="HT499" s="64"/>
      <c r="HU499" s="64"/>
      <c r="HV499" s="64"/>
      <c r="HW499" s="64"/>
      <c r="HX499" s="64"/>
      <c r="HY499" s="64"/>
      <c r="HZ499" s="64"/>
      <c r="IA499" s="64"/>
      <c r="IB499" s="64"/>
      <c r="IC499" s="64"/>
      <c r="ID499" s="64"/>
      <c r="IE499" s="64"/>
      <c r="IF499" s="64"/>
      <c r="IG499" s="64"/>
      <c r="IH499" s="64"/>
      <c r="II499" s="64"/>
      <c r="IJ499" s="64"/>
      <c r="IK499" s="64"/>
      <c r="IL499" s="64"/>
      <c r="IM499" s="64"/>
      <c r="IN499" s="64"/>
      <c r="IO499" s="64"/>
      <c r="IP499" s="64"/>
      <c r="IQ499" s="64"/>
      <c r="IR499" s="64"/>
      <c r="IS499" s="64"/>
      <c r="IT499" s="64"/>
      <c r="IU499" s="64"/>
      <c r="IV499" s="64"/>
      <c r="IW499" s="64"/>
      <c r="IX499" s="64"/>
      <c r="IY499" s="64"/>
      <c r="IZ499" s="64"/>
      <c r="JA499" s="64"/>
      <c r="JB499" s="64"/>
      <c r="JC499" s="64"/>
      <c r="JD499" s="64"/>
      <c r="JE499" s="64"/>
      <c r="JF499" s="64"/>
      <c r="JG499" s="64"/>
      <c r="JH499" s="64"/>
      <c r="JI499" s="64"/>
    </row>
    <row r="500" spans="1:269" s="920" customFormat="1" x14ac:dyDescent="0.2">
      <c r="A500" s="116"/>
      <c r="B500" s="64"/>
      <c r="C500" s="64"/>
      <c r="D500" s="64"/>
      <c r="E500" s="64"/>
      <c r="F500" s="64"/>
      <c r="G500" s="64"/>
      <c r="H500" s="64"/>
      <c r="I500" s="64"/>
      <c r="J500" s="116"/>
      <c r="K500" s="116"/>
      <c r="L500" s="116"/>
      <c r="M500" s="116"/>
      <c r="N500" s="116"/>
      <c r="O500" s="116"/>
      <c r="P500" s="116"/>
      <c r="Q500" s="102"/>
      <c r="R500" s="102"/>
      <c r="S500" s="102"/>
      <c r="T500" s="102"/>
      <c r="U500" s="913"/>
      <c r="V500" s="114"/>
      <c r="W500" s="805"/>
      <c r="X500" s="805"/>
      <c r="Y500" s="805"/>
      <c r="Z500" s="914"/>
      <c r="AA500" s="102"/>
      <c r="AB500" s="102"/>
      <c r="AC500" s="102"/>
      <c r="AD500" s="102"/>
      <c r="AE500" s="102"/>
      <c r="AF500" s="102"/>
      <c r="AG500" s="102"/>
      <c r="AH500" s="102"/>
      <c r="AI500" s="102"/>
      <c r="AJ500" s="906"/>
      <c r="AK500" s="102"/>
      <c r="AL500" s="915"/>
      <c r="AM500" s="915"/>
      <c r="AN500" s="114"/>
      <c r="AO500" s="64"/>
      <c r="AP500" s="64"/>
      <c r="AQ500" s="64"/>
      <c r="AR500" s="916"/>
      <c r="AS500" s="916"/>
      <c r="AT500" s="916"/>
      <c r="AU500" s="917"/>
      <c r="AV500" s="917"/>
      <c r="AW500" s="917"/>
      <c r="AX500" s="918"/>
      <c r="AY500" s="916"/>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917"/>
      <c r="CA500" s="917"/>
      <c r="CB500" s="64"/>
      <c r="CC500" s="919"/>
      <c r="CD500" s="919"/>
      <c r="CE500" s="64"/>
      <c r="CF500" s="528"/>
      <c r="CG500" s="529"/>
      <c r="CH500" s="64"/>
      <c r="CI500" s="64"/>
      <c r="CJ500" s="64"/>
      <c r="CK500" s="64"/>
      <c r="CL500" s="64"/>
      <c r="CM500" s="64"/>
      <c r="CN500" s="64"/>
      <c r="CO500" s="64"/>
      <c r="CP500" s="64"/>
      <c r="CQ500" s="64"/>
      <c r="CR500" s="64"/>
      <c r="CS500" s="64"/>
      <c r="CT500" s="64"/>
      <c r="CU500" s="64"/>
      <c r="CV500" s="64"/>
      <c r="CW500" s="64"/>
      <c r="CX500" s="64"/>
      <c r="CY500" s="1011"/>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c r="FC500" s="64"/>
      <c r="FD500" s="64"/>
      <c r="FE500" s="64"/>
      <c r="FF500" s="64"/>
      <c r="FG500" s="64"/>
      <c r="FH500" s="64"/>
      <c r="FI500" s="64"/>
      <c r="FJ500" s="64"/>
      <c r="FK500" s="64"/>
      <c r="FL500" s="64"/>
      <c r="FM500" s="64"/>
      <c r="FN500" s="64"/>
      <c r="FO500" s="64"/>
      <c r="FP500" s="64"/>
      <c r="FQ500" s="64"/>
      <c r="FR500" s="64"/>
      <c r="FS500" s="64"/>
      <c r="FT500" s="64"/>
      <c r="FU500" s="64"/>
      <c r="FV500" s="64"/>
      <c r="FW500" s="64"/>
      <c r="FX500" s="64"/>
      <c r="FY500" s="64"/>
      <c r="FZ500" s="64"/>
      <c r="GA500" s="64"/>
      <c r="GB500" s="64"/>
      <c r="GC500" s="64"/>
      <c r="GD500" s="64"/>
      <c r="GE500" s="64"/>
      <c r="GF500" s="64"/>
      <c r="GG500" s="64"/>
      <c r="GH500" s="64"/>
      <c r="GI500" s="64"/>
      <c r="GJ500" s="64"/>
      <c r="GK500" s="64"/>
      <c r="GL500" s="64"/>
      <c r="GM500" s="64"/>
      <c r="GN500" s="64"/>
      <c r="GO500" s="64"/>
      <c r="GP500" s="64"/>
      <c r="GQ500" s="64"/>
      <c r="GR500" s="64"/>
      <c r="GS500" s="64"/>
      <c r="GT500" s="64"/>
      <c r="GU500" s="64"/>
      <c r="GV500" s="64"/>
      <c r="GW500" s="64"/>
      <c r="GX500" s="64"/>
      <c r="GY500" s="64"/>
      <c r="GZ500" s="64"/>
      <c r="HA500" s="64"/>
      <c r="HB500" s="64"/>
      <c r="HC500" s="64"/>
      <c r="HD500" s="64"/>
      <c r="HE500" s="64"/>
      <c r="HF500" s="64"/>
      <c r="HG500" s="64"/>
      <c r="HH500" s="64"/>
      <c r="HI500" s="64"/>
      <c r="HJ500" s="64"/>
      <c r="HK500" s="64"/>
      <c r="HL500" s="64"/>
      <c r="HM500" s="64"/>
      <c r="HN500" s="64"/>
      <c r="HO500" s="64"/>
      <c r="HP500" s="64"/>
      <c r="HQ500" s="64"/>
      <c r="HR500" s="64"/>
      <c r="HS500" s="64"/>
      <c r="HT500" s="64"/>
      <c r="HU500" s="64"/>
      <c r="HV500" s="64"/>
      <c r="HW500" s="64"/>
      <c r="HX500" s="64"/>
      <c r="HY500" s="64"/>
      <c r="HZ500" s="64"/>
      <c r="IA500" s="64"/>
      <c r="IB500" s="64"/>
      <c r="IC500" s="64"/>
      <c r="ID500" s="64"/>
      <c r="IE500" s="64"/>
      <c r="IF500" s="64"/>
      <c r="IG500" s="64"/>
      <c r="IH500" s="64"/>
      <c r="II500" s="64"/>
      <c r="IJ500" s="64"/>
      <c r="IK500" s="64"/>
      <c r="IL500" s="64"/>
      <c r="IM500" s="64"/>
      <c r="IN500" s="64"/>
      <c r="IO500" s="64"/>
      <c r="IP500" s="64"/>
      <c r="IQ500" s="64"/>
      <c r="IR500" s="64"/>
      <c r="IS500" s="64"/>
      <c r="IT500" s="64"/>
      <c r="IU500" s="64"/>
      <c r="IV500" s="64"/>
      <c r="IW500" s="64"/>
      <c r="IX500" s="64"/>
      <c r="IY500" s="64"/>
      <c r="IZ500" s="64"/>
      <c r="JA500" s="64"/>
      <c r="JB500" s="64"/>
      <c r="JC500" s="64"/>
      <c r="JD500" s="64"/>
      <c r="JE500" s="64"/>
      <c r="JF500" s="64"/>
      <c r="JG500" s="64"/>
      <c r="JH500" s="64"/>
      <c r="JI500" s="64"/>
    </row>
    <row r="501" spans="1:269" s="920" customFormat="1" x14ac:dyDescent="0.2">
      <c r="A501" s="116"/>
      <c r="B501" s="64"/>
      <c r="C501" s="64"/>
      <c r="D501" s="64"/>
      <c r="E501" s="64"/>
      <c r="F501" s="64"/>
      <c r="G501" s="64"/>
      <c r="H501" s="64"/>
      <c r="I501" s="64"/>
      <c r="J501" s="116"/>
      <c r="K501" s="116"/>
      <c r="L501" s="116"/>
      <c r="M501" s="116"/>
      <c r="N501" s="116"/>
      <c r="O501" s="116"/>
      <c r="P501" s="116"/>
      <c r="Q501" s="102"/>
      <c r="R501" s="102"/>
      <c r="S501" s="102"/>
      <c r="T501" s="102"/>
      <c r="U501" s="913"/>
      <c r="V501" s="114"/>
      <c r="W501" s="805"/>
      <c r="X501" s="805"/>
      <c r="Y501" s="805"/>
      <c r="Z501" s="914"/>
      <c r="AA501" s="102"/>
      <c r="AB501" s="102"/>
      <c r="AC501" s="102"/>
      <c r="AD501" s="102"/>
      <c r="AE501" s="102"/>
      <c r="AF501" s="102"/>
      <c r="AG501" s="102"/>
      <c r="AH501" s="102"/>
      <c r="AI501" s="102"/>
      <c r="AJ501" s="906"/>
      <c r="AK501" s="102"/>
      <c r="AL501" s="915"/>
      <c r="AM501" s="915"/>
      <c r="AN501" s="114"/>
      <c r="AO501" s="64"/>
      <c r="AP501" s="64"/>
      <c r="AQ501" s="64"/>
      <c r="AR501" s="916"/>
      <c r="AS501" s="916"/>
      <c r="AT501" s="916"/>
      <c r="AU501" s="917"/>
      <c r="AV501" s="917"/>
      <c r="AW501" s="917"/>
      <c r="AX501" s="918"/>
      <c r="AY501" s="916"/>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917"/>
      <c r="CA501" s="917"/>
      <c r="CB501" s="64"/>
      <c r="CC501" s="919"/>
      <c r="CD501" s="919"/>
      <c r="CE501" s="64"/>
      <c r="CF501" s="528"/>
      <c r="CG501" s="529"/>
      <c r="CH501" s="64"/>
      <c r="CI501" s="64"/>
      <c r="CJ501" s="64"/>
      <c r="CK501" s="64"/>
      <c r="CL501" s="64"/>
      <c r="CM501" s="64"/>
      <c r="CN501" s="64"/>
      <c r="CO501" s="64"/>
      <c r="CP501" s="64"/>
      <c r="CQ501" s="64"/>
      <c r="CR501" s="64"/>
      <c r="CS501" s="64"/>
      <c r="CT501" s="64"/>
      <c r="CU501" s="64"/>
      <c r="CV501" s="64"/>
      <c r="CW501" s="64"/>
      <c r="CX501" s="64"/>
      <c r="CY501" s="1011"/>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c r="FC501" s="64"/>
      <c r="FD501" s="64"/>
      <c r="FE501" s="64"/>
      <c r="FF501" s="64"/>
      <c r="FG501" s="64"/>
      <c r="FH501" s="64"/>
      <c r="FI501" s="64"/>
      <c r="FJ501" s="64"/>
      <c r="FK501" s="64"/>
      <c r="FL501" s="64"/>
      <c r="FM501" s="64"/>
      <c r="FN501" s="64"/>
      <c r="FO501" s="64"/>
      <c r="FP501" s="64"/>
      <c r="FQ501" s="64"/>
      <c r="FR501" s="64"/>
      <c r="FS501" s="64"/>
      <c r="FT501" s="64"/>
      <c r="FU501" s="64"/>
      <c r="FV501" s="64"/>
      <c r="FW501" s="64"/>
      <c r="FX501" s="64"/>
      <c r="FY501" s="64"/>
      <c r="FZ501" s="64"/>
      <c r="GA501" s="64"/>
      <c r="GB501" s="64"/>
      <c r="GC501" s="64"/>
      <c r="GD501" s="64"/>
      <c r="GE501" s="64"/>
      <c r="GF501" s="64"/>
      <c r="GG501" s="64"/>
      <c r="GH501" s="64"/>
      <c r="GI501" s="64"/>
      <c r="GJ501" s="64"/>
      <c r="GK501" s="64"/>
      <c r="GL501" s="64"/>
      <c r="GM501" s="64"/>
      <c r="GN501" s="64"/>
      <c r="GO501" s="64"/>
      <c r="GP501" s="64"/>
      <c r="GQ501" s="64"/>
      <c r="GR501" s="64"/>
      <c r="GS501" s="64"/>
      <c r="GT501" s="64"/>
      <c r="GU501" s="64"/>
      <c r="GV501" s="64"/>
      <c r="GW501" s="64"/>
      <c r="GX501" s="64"/>
      <c r="GY501" s="64"/>
      <c r="GZ501" s="64"/>
      <c r="HA501" s="64"/>
      <c r="HB501" s="64"/>
      <c r="HC501" s="64"/>
      <c r="HD501" s="64"/>
      <c r="HE501" s="64"/>
      <c r="HF501" s="64"/>
      <c r="HG501" s="64"/>
      <c r="HH501" s="64"/>
      <c r="HI501" s="64"/>
      <c r="HJ501" s="64"/>
      <c r="HK501" s="64"/>
      <c r="HL501" s="64"/>
      <c r="HM501" s="64"/>
      <c r="HN501" s="64"/>
      <c r="HO501" s="64"/>
      <c r="HP501" s="64"/>
      <c r="HQ501" s="64"/>
      <c r="HR501" s="64"/>
      <c r="HS501" s="64"/>
      <c r="HT501" s="64"/>
      <c r="HU501" s="64"/>
      <c r="HV501" s="64"/>
      <c r="HW501" s="64"/>
      <c r="HX501" s="64"/>
      <c r="HY501" s="64"/>
      <c r="HZ501" s="64"/>
      <c r="IA501" s="64"/>
      <c r="IB501" s="64"/>
      <c r="IC501" s="64"/>
      <c r="ID501" s="64"/>
      <c r="IE501" s="64"/>
      <c r="IF501" s="64"/>
      <c r="IG501" s="64"/>
      <c r="IH501" s="64"/>
      <c r="II501" s="64"/>
      <c r="IJ501" s="64"/>
      <c r="IK501" s="64"/>
      <c r="IL501" s="64"/>
      <c r="IM501" s="64"/>
      <c r="IN501" s="64"/>
      <c r="IO501" s="64"/>
      <c r="IP501" s="64"/>
      <c r="IQ501" s="64"/>
      <c r="IR501" s="64"/>
      <c r="IS501" s="64"/>
      <c r="IT501" s="64"/>
      <c r="IU501" s="64"/>
      <c r="IV501" s="64"/>
      <c r="IW501" s="64"/>
      <c r="IX501" s="64"/>
      <c r="IY501" s="64"/>
      <c r="IZ501" s="64"/>
      <c r="JA501" s="64"/>
      <c r="JB501" s="64"/>
      <c r="JC501" s="64"/>
      <c r="JD501" s="64"/>
      <c r="JE501" s="64"/>
      <c r="JF501" s="64"/>
      <c r="JG501" s="64"/>
      <c r="JH501" s="64"/>
      <c r="JI501" s="64"/>
    </row>
    <row r="502" spans="1:269" s="920" customFormat="1" x14ac:dyDescent="0.2">
      <c r="A502" s="116"/>
      <c r="B502" s="64"/>
      <c r="C502" s="64"/>
      <c r="D502" s="64"/>
      <c r="E502" s="64"/>
      <c r="F502" s="64"/>
      <c r="G502" s="64"/>
      <c r="H502" s="64"/>
      <c r="I502" s="64"/>
      <c r="J502" s="116"/>
      <c r="K502" s="116"/>
      <c r="L502" s="116"/>
      <c r="M502" s="116"/>
      <c r="N502" s="116"/>
      <c r="O502" s="116"/>
      <c r="P502" s="116"/>
      <c r="Q502" s="102"/>
      <c r="R502" s="102"/>
      <c r="S502" s="102"/>
      <c r="T502" s="102"/>
      <c r="U502" s="913"/>
      <c r="V502" s="114"/>
      <c r="W502" s="805"/>
      <c r="X502" s="805"/>
      <c r="Y502" s="805"/>
      <c r="Z502" s="914"/>
      <c r="AA502" s="102"/>
      <c r="AB502" s="102"/>
      <c r="AC502" s="102"/>
      <c r="AD502" s="102"/>
      <c r="AE502" s="102"/>
      <c r="AF502" s="102"/>
      <c r="AG502" s="102"/>
      <c r="AH502" s="102"/>
      <c r="AI502" s="102"/>
      <c r="AJ502" s="906"/>
      <c r="AK502" s="102"/>
      <c r="AL502" s="915"/>
      <c r="AM502" s="915"/>
      <c r="AN502" s="114"/>
      <c r="AO502" s="64"/>
      <c r="AP502" s="64"/>
      <c r="AQ502" s="64"/>
      <c r="AR502" s="916"/>
      <c r="AS502" s="916"/>
      <c r="AT502" s="916"/>
      <c r="AU502" s="917"/>
      <c r="AV502" s="917"/>
      <c r="AW502" s="917"/>
      <c r="AX502" s="918"/>
      <c r="AY502" s="916"/>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917"/>
      <c r="CA502" s="917"/>
      <c r="CB502" s="64"/>
      <c r="CC502" s="919"/>
      <c r="CD502" s="919"/>
      <c r="CE502" s="64"/>
      <c r="CF502" s="528"/>
      <c r="CG502" s="529"/>
      <c r="CH502" s="64"/>
      <c r="CI502" s="64"/>
      <c r="CJ502" s="64"/>
      <c r="CK502" s="64"/>
      <c r="CL502" s="64"/>
      <c r="CM502" s="64"/>
      <c r="CN502" s="64"/>
      <c r="CO502" s="64"/>
      <c r="CP502" s="64"/>
      <c r="CQ502" s="64"/>
      <c r="CR502" s="64"/>
      <c r="CS502" s="64"/>
      <c r="CT502" s="64"/>
      <c r="CU502" s="64"/>
      <c r="CV502" s="64"/>
      <c r="CW502" s="64"/>
      <c r="CX502" s="64"/>
      <c r="CY502" s="1011"/>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c r="FC502" s="64"/>
      <c r="FD502" s="64"/>
      <c r="FE502" s="64"/>
      <c r="FF502" s="64"/>
      <c r="FG502" s="64"/>
      <c r="FH502" s="64"/>
      <c r="FI502" s="64"/>
      <c r="FJ502" s="64"/>
      <c r="FK502" s="64"/>
      <c r="FL502" s="64"/>
      <c r="FM502" s="64"/>
      <c r="FN502" s="64"/>
      <c r="FO502" s="64"/>
      <c r="FP502" s="64"/>
      <c r="FQ502" s="64"/>
      <c r="FR502" s="64"/>
      <c r="FS502" s="64"/>
      <c r="FT502" s="64"/>
      <c r="FU502" s="64"/>
      <c r="FV502" s="64"/>
      <c r="FW502" s="64"/>
      <c r="FX502" s="64"/>
      <c r="FY502" s="64"/>
      <c r="FZ502" s="64"/>
      <c r="GA502" s="64"/>
      <c r="GB502" s="64"/>
      <c r="GC502" s="64"/>
      <c r="GD502" s="64"/>
      <c r="GE502" s="64"/>
      <c r="GF502" s="64"/>
      <c r="GG502" s="64"/>
      <c r="GH502" s="64"/>
      <c r="GI502" s="64"/>
      <c r="GJ502" s="64"/>
      <c r="GK502" s="64"/>
      <c r="GL502" s="64"/>
      <c r="GM502" s="64"/>
      <c r="GN502" s="64"/>
      <c r="GO502" s="64"/>
      <c r="GP502" s="64"/>
      <c r="GQ502" s="64"/>
      <c r="GR502" s="64"/>
      <c r="GS502" s="64"/>
      <c r="GT502" s="64"/>
      <c r="GU502" s="64"/>
      <c r="GV502" s="64"/>
      <c r="GW502" s="64"/>
      <c r="GX502" s="64"/>
      <c r="GY502" s="64"/>
      <c r="GZ502" s="64"/>
      <c r="HA502" s="64"/>
      <c r="HB502" s="64"/>
      <c r="HC502" s="64"/>
      <c r="HD502" s="64"/>
      <c r="HE502" s="64"/>
      <c r="HF502" s="64"/>
      <c r="HG502" s="64"/>
      <c r="HH502" s="64"/>
      <c r="HI502" s="64"/>
      <c r="HJ502" s="64"/>
      <c r="HK502" s="64"/>
      <c r="HL502" s="64"/>
      <c r="HM502" s="64"/>
      <c r="HN502" s="64"/>
      <c r="HO502" s="64"/>
      <c r="HP502" s="64"/>
      <c r="HQ502" s="64"/>
      <c r="HR502" s="64"/>
      <c r="HS502" s="64"/>
      <c r="HT502" s="64"/>
      <c r="HU502" s="64"/>
      <c r="HV502" s="64"/>
      <c r="HW502" s="64"/>
      <c r="HX502" s="64"/>
      <c r="HY502" s="64"/>
      <c r="HZ502" s="64"/>
      <c r="IA502" s="64"/>
      <c r="IB502" s="64"/>
      <c r="IC502" s="64"/>
      <c r="ID502" s="64"/>
      <c r="IE502" s="64"/>
      <c r="IF502" s="64"/>
      <c r="IG502" s="64"/>
      <c r="IH502" s="64"/>
      <c r="II502" s="64"/>
      <c r="IJ502" s="64"/>
      <c r="IK502" s="64"/>
      <c r="IL502" s="64"/>
      <c r="IM502" s="64"/>
      <c r="IN502" s="64"/>
      <c r="IO502" s="64"/>
      <c r="IP502" s="64"/>
      <c r="IQ502" s="64"/>
      <c r="IR502" s="64"/>
      <c r="IS502" s="64"/>
      <c r="IT502" s="64"/>
      <c r="IU502" s="64"/>
      <c r="IV502" s="64"/>
      <c r="IW502" s="64"/>
      <c r="IX502" s="64"/>
      <c r="IY502" s="64"/>
      <c r="IZ502" s="64"/>
      <c r="JA502" s="64"/>
      <c r="JB502" s="64"/>
      <c r="JC502" s="64"/>
      <c r="JD502" s="64"/>
      <c r="JE502" s="64"/>
      <c r="JF502" s="64"/>
      <c r="JG502" s="64"/>
      <c r="JH502" s="64"/>
      <c r="JI502" s="64"/>
    </row>
    <row r="503" spans="1:269" s="920" customFormat="1" x14ac:dyDescent="0.2">
      <c r="A503" s="116"/>
      <c r="B503" s="64"/>
      <c r="C503" s="64"/>
      <c r="D503" s="64"/>
      <c r="E503" s="64"/>
      <c r="F503" s="64"/>
      <c r="G503" s="64"/>
      <c r="H503" s="64"/>
      <c r="I503" s="64"/>
      <c r="J503" s="116"/>
      <c r="K503" s="116"/>
      <c r="L503" s="116"/>
      <c r="M503" s="116"/>
      <c r="N503" s="116"/>
      <c r="O503" s="116"/>
      <c r="P503" s="116"/>
      <c r="Q503" s="102"/>
      <c r="R503" s="102"/>
      <c r="S503" s="102"/>
      <c r="T503" s="102"/>
      <c r="U503" s="913"/>
      <c r="V503" s="114"/>
      <c r="W503" s="805"/>
      <c r="X503" s="805"/>
      <c r="Y503" s="805"/>
      <c r="Z503" s="914"/>
      <c r="AA503" s="102"/>
      <c r="AB503" s="102"/>
      <c r="AC503" s="102"/>
      <c r="AD503" s="102"/>
      <c r="AE503" s="102"/>
      <c r="AF503" s="102"/>
      <c r="AG503" s="102"/>
      <c r="AH503" s="102"/>
      <c r="AI503" s="102"/>
      <c r="AJ503" s="906"/>
      <c r="AK503" s="102"/>
      <c r="AL503" s="915"/>
      <c r="AM503" s="915"/>
      <c r="AN503" s="114"/>
      <c r="AO503" s="64"/>
      <c r="AP503" s="64"/>
      <c r="AQ503" s="64"/>
      <c r="AR503" s="916"/>
      <c r="AS503" s="916"/>
      <c r="AT503" s="916"/>
      <c r="AU503" s="917"/>
      <c r="AV503" s="917"/>
      <c r="AW503" s="917"/>
      <c r="AX503" s="918"/>
      <c r="AY503" s="916"/>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917"/>
      <c r="CA503" s="917"/>
      <c r="CB503" s="64"/>
      <c r="CC503" s="919"/>
      <c r="CD503" s="919"/>
      <c r="CE503" s="64"/>
      <c r="CF503" s="528"/>
      <c r="CG503" s="529"/>
      <c r="CH503" s="64"/>
      <c r="CI503" s="64"/>
      <c r="CJ503" s="64"/>
      <c r="CK503" s="64"/>
      <c r="CL503" s="64"/>
      <c r="CM503" s="64"/>
      <c r="CN503" s="64"/>
      <c r="CO503" s="64"/>
      <c r="CP503" s="64"/>
      <c r="CQ503" s="64"/>
      <c r="CR503" s="64"/>
      <c r="CS503" s="64"/>
      <c r="CT503" s="64"/>
      <c r="CU503" s="64"/>
      <c r="CV503" s="64"/>
      <c r="CW503" s="64"/>
      <c r="CX503" s="64"/>
      <c r="CY503" s="1011"/>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c r="FC503" s="64"/>
      <c r="FD503" s="64"/>
      <c r="FE503" s="64"/>
      <c r="FF503" s="64"/>
      <c r="FG503" s="64"/>
      <c r="FH503" s="64"/>
      <c r="FI503" s="64"/>
      <c r="FJ503" s="64"/>
      <c r="FK503" s="64"/>
      <c r="FL503" s="64"/>
      <c r="FM503" s="64"/>
      <c r="FN503" s="64"/>
      <c r="FO503" s="64"/>
      <c r="FP503" s="64"/>
      <c r="FQ503" s="64"/>
      <c r="FR503" s="64"/>
      <c r="FS503" s="64"/>
      <c r="FT503" s="64"/>
      <c r="FU503" s="64"/>
      <c r="FV503" s="64"/>
      <c r="FW503" s="64"/>
      <c r="FX503" s="64"/>
      <c r="FY503" s="64"/>
      <c r="FZ503" s="64"/>
      <c r="GA503" s="64"/>
      <c r="GB503" s="64"/>
      <c r="GC503" s="64"/>
      <c r="GD503" s="64"/>
      <c r="GE503" s="64"/>
      <c r="GF503" s="64"/>
      <c r="GG503" s="64"/>
      <c r="GH503" s="64"/>
      <c r="GI503" s="64"/>
      <c r="GJ503" s="64"/>
      <c r="GK503" s="64"/>
      <c r="GL503" s="64"/>
      <c r="GM503" s="64"/>
      <c r="GN503" s="64"/>
      <c r="GO503" s="64"/>
      <c r="GP503" s="64"/>
      <c r="GQ503" s="64"/>
      <c r="GR503" s="64"/>
      <c r="GS503" s="64"/>
      <c r="GT503" s="64"/>
      <c r="GU503" s="64"/>
      <c r="GV503" s="64"/>
      <c r="GW503" s="64"/>
      <c r="GX503" s="64"/>
      <c r="GY503" s="64"/>
      <c r="GZ503" s="64"/>
      <c r="HA503" s="64"/>
      <c r="HB503" s="64"/>
      <c r="HC503" s="64"/>
      <c r="HD503" s="64"/>
      <c r="HE503" s="64"/>
      <c r="HF503" s="64"/>
      <c r="HG503" s="64"/>
      <c r="HH503" s="64"/>
      <c r="HI503" s="64"/>
      <c r="HJ503" s="64"/>
      <c r="HK503" s="64"/>
      <c r="HL503" s="64"/>
      <c r="HM503" s="64"/>
      <c r="HN503" s="64"/>
      <c r="HO503" s="64"/>
      <c r="HP503" s="64"/>
      <c r="HQ503" s="64"/>
      <c r="HR503" s="64"/>
      <c r="HS503" s="64"/>
      <c r="HT503" s="64"/>
      <c r="HU503" s="64"/>
      <c r="HV503" s="64"/>
      <c r="HW503" s="64"/>
      <c r="HX503" s="64"/>
      <c r="HY503" s="64"/>
      <c r="HZ503" s="64"/>
      <c r="IA503" s="64"/>
      <c r="IB503" s="64"/>
      <c r="IC503" s="64"/>
      <c r="ID503" s="64"/>
      <c r="IE503" s="64"/>
      <c r="IF503" s="64"/>
      <c r="IG503" s="64"/>
      <c r="IH503" s="64"/>
      <c r="II503" s="64"/>
      <c r="IJ503" s="64"/>
      <c r="IK503" s="64"/>
      <c r="IL503" s="64"/>
      <c r="IM503" s="64"/>
      <c r="IN503" s="64"/>
      <c r="IO503" s="64"/>
      <c r="IP503" s="64"/>
      <c r="IQ503" s="64"/>
      <c r="IR503" s="64"/>
      <c r="IS503" s="64"/>
      <c r="IT503" s="64"/>
      <c r="IU503" s="64"/>
      <c r="IV503" s="64"/>
      <c r="IW503" s="64"/>
      <c r="IX503" s="64"/>
      <c r="IY503" s="64"/>
      <c r="IZ503" s="64"/>
      <c r="JA503" s="64"/>
      <c r="JB503" s="64"/>
      <c r="JC503" s="64"/>
      <c r="JD503" s="64"/>
      <c r="JE503" s="64"/>
      <c r="JF503" s="64"/>
      <c r="JG503" s="64"/>
      <c r="JH503" s="64"/>
      <c r="JI503" s="64"/>
    </row>
    <row r="504" spans="1:269" s="920" customFormat="1" x14ac:dyDescent="0.2">
      <c r="A504" s="116"/>
      <c r="B504" s="64"/>
      <c r="C504" s="64"/>
      <c r="D504" s="64"/>
      <c r="E504" s="64"/>
      <c r="F504" s="64"/>
      <c r="G504" s="64"/>
      <c r="H504" s="64"/>
      <c r="I504" s="64"/>
      <c r="J504" s="116"/>
      <c r="K504" s="116"/>
      <c r="L504" s="116"/>
      <c r="M504" s="116"/>
      <c r="N504" s="116"/>
      <c r="O504" s="116"/>
      <c r="P504" s="116"/>
      <c r="Q504" s="102"/>
      <c r="R504" s="102"/>
      <c r="S504" s="102"/>
      <c r="T504" s="102"/>
      <c r="U504" s="913"/>
      <c r="V504" s="114"/>
      <c r="W504" s="805"/>
      <c r="X504" s="805"/>
      <c r="Y504" s="805"/>
      <c r="Z504" s="914"/>
      <c r="AA504" s="102"/>
      <c r="AB504" s="102"/>
      <c r="AC504" s="102"/>
      <c r="AD504" s="102"/>
      <c r="AE504" s="102"/>
      <c r="AF504" s="102"/>
      <c r="AG504" s="102"/>
      <c r="AH504" s="102"/>
      <c r="AI504" s="102"/>
      <c r="AJ504" s="906"/>
      <c r="AK504" s="102"/>
      <c r="AL504" s="915"/>
      <c r="AM504" s="915"/>
      <c r="AN504" s="114"/>
      <c r="AO504" s="64"/>
      <c r="AP504" s="64"/>
      <c r="AQ504" s="64"/>
      <c r="AR504" s="916"/>
      <c r="AS504" s="916"/>
      <c r="AT504" s="916"/>
      <c r="AU504" s="917"/>
      <c r="AV504" s="917"/>
      <c r="AW504" s="917"/>
      <c r="AX504" s="918"/>
      <c r="AY504" s="916"/>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917"/>
      <c r="CA504" s="917"/>
      <c r="CB504" s="64"/>
      <c r="CC504" s="919"/>
      <c r="CD504" s="919"/>
      <c r="CE504" s="64"/>
      <c r="CF504" s="528"/>
      <c r="CG504" s="529"/>
      <c r="CH504" s="64"/>
      <c r="CI504" s="64"/>
      <c r="CJ504" s="64"/>
      <c r="CK504" s="64"/>
      <c r="CL504" s="64"/>
      <c r="CM504" s="64"/>
      <c r="CN504" s="64"/>
      <c r="CO504" s="64"/>
      <c r="CP504" s="64"/>
      <c r="CQ504" s="64"/>
      <c r="CR504" s="64"/>
      <c r="CS504" s="64"/>
      <c r="CT504" s="64"/>
      <c r="CU504" s="64"/>
      <c r="CV504" s="64"/>
      <c r="CW504" s="64"/>
      <c r="CX504" s="64"/>
      <c r="CY504" s="1011"/>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c r="FC504" s="64"/>
      <c r="FD504" s="64"/>
      <c r="FE504" s="64"/>
      <c r="FF504" s="64"/>
      <c r="FG504" s="64"/>
      <c r="FH504" s="64"/>
      <c r="FI504" s="64"/>
      <c r="FJ504" s="64"/>
      <c r="FK504" s="64"/>
      <c r="FL504" s="64"/>
      <c r="FM504" s="64"/>
      <c r="FN504" s="64"/>
      <c r="FO504" s="64"/>
      <c r="FP504" s="64"/>
      <c r="FQ504" s="64"/>
      <c r="FR504" s="64"/>
      <c r="FS504" s="64"/>
      <c r="FT504" s="64"/>
      <c r="FU504" s="64"/>
      <c r="FV504" s="64"/>
      <c r="FW504" s="64"/>
      <c r="FX504" s="64"/>
      <c r="FY504" s="64"/>
      <c r="FZ504" s="64"/>
      <c r="GA504" s="64"/>
      <c r="GB504" s="64"/>
      <c r="GC504" s="64"/>
      <c r="GD504" s="64"/>
      <c r="GE504" s="64"/>
      <c r="GF504" s="64"/>
      <c r="GG504" s="64"/>
      <c r="GH504" s="64"/>
      <c r="GI504" s="64"/>
      <c r="GJ504" s="64"/>
      <c r="GK504" s="64"/>
      <c r="GL504" s="64"/>
      <c r="GM504" s="64"/>
      <c r="GN504" s="64"/>
      <c r="GO504" s="64"/>
      <c r="GP504" s="64"/>
      <c r="GQ504" s="64"/>
      <c r="GR504" s="64"/>
      <c r="GS504" s="64"/>
      <c r="GT504" s="64"/>
      <c r="GU504" s="64"/>
      <c r="GV504" s="64"/>
      <c r="GW504" s="64"/>
      <c r="GX504" s="64"/>
      <c r="GY504" s="64"/>
      <c r="GZ504" s="64"/>
      <c r="HA504" s="64"/>
      <c r="HB504" s="64"/>
      <c r="HC504" s="64"/>
      <c r="HD504" s="64"/>
      <c r="HE504" s="64"/>
      <c r="HF504" s="64"/>
      <c r="HG504" s="64"/>
      <c r="HH504" s="64"/>
      <c r="HI504" s="64"/>
      <c r="HJ504" s="64"/>
      <c r="HK504" s="64"/>
      <c r="HL504" s="64"/>
      <c r="HM504" s="64"/>
      <c r="HN504" s="64"/>
      <c r="HO504" s="64"/>
      <c r="HP504" s="64"/>
      <c r="HQ504" s="64"/>
      <c r="HR504" s="64"/>
      <c r="HS504" s="64"/>
      <c r="HT504" s="64"/>
      <c r="HU504" s="64"/>
      <c r="HV504" s="64"/>
      <c r="HW504" s="64"/>
      <c r="HX504" s="64"/>
      <c r="HY504" s="64"/>
      <c r="HZ504" s="64"/>
      <c r="IA504" s="64"/>
      <c r="IB504" s="64"/>
      <c r="IC504" s="64"/>
      <c r="ID504" s="64"/>
      <c r="IE504" s="64"/>
      <c r="IF504" s="64"/>
      <c r="IG504" s="64"/>
      <c r="IH504" s="64"/>
      <c r="II504" s="64"/>
      <c r="IJ504" s="64"/>
      <c r="IK504" s="64"/>
      <c r="IL504" s="64"/>
      <c r="IM504" s="64"/>
      <c r="IN504" s="64"/>
      <c r="IO504" s="64"/>
      <c r="IP504" s="64"/>
      <c r="IQ504" s="64"/>
      <c r="IR504" s="64"/>
      <c r="IS504" s="64"/>
      <c r="IT504" s="64"/>
      <c r="IU504" s="64"/>
      <c r="IV504" s="64"/>
      <c r="IW504" s="64"/>
      <c r="IX504" s="64"/>
      <c r="IY504" s="64"/>
      <c r="IZ504" s="64"/>
      <c r="JA504" s="64"/>
      <c r="JB504" s="64"/>
      <c r="JC504" s="64"/>
      <c r="JD504" s="64"/>
      <c r="JE504" s="64"/>
      <c r="JF504" s="64"/>
      <c r="JG504" s="64"/>
      <c r="JH504" s="64"/>
      <c r="JI504" s="64"/>
    </row>
    <row r="505" spans="1:269" s="920" customFormat="1" x14ac:dyDescent="0.2">
      <c r="A505" s="116"/>
      <c r="B505" s="64"/>
      <c r="C505" s="64"/>
      <c r="D505" s="64"/>
      <c r="E505" s="64"/>
      <c r="F505" s="64"/>
      <c r="G505" s="64"/>
      <c r="H505" s="64"/>
      <c r="I505" s="64"/>
      <c r="J505" s="116"/>
      <c r="K505" s="116"/>
      <c r="L505" s="116"/>
      <c r="M505" s="116"/>
      <c r="N505" s="116"/>
      <c r="O505" s="116"/>
      <c r="P505" s="116"/>
      <c r="Q505" s="102"/>
      <c r="R505" s="102"/>
      <c r="S505" s="102"/>
      <c r="T505" s="102"/>
      <c r="U505" s="913"/>
      <c r="V505" s="114"/>
      <c r="W505" s="805"/>
      <c r="X505" s="805"/>
      <c r="Y505" s="805"/>
      <c r="Z505" s="914"/>
      <c r="AA505" s="102"/>
      <c r="AB505" s="102"/>
      <c r="AC505" s="102"/>
      <c r="AD505" s="102"/>
      <c r="AE505" s="102"/>
      <c r="AF505" s="102"/>
      <c r="AG505" s="102"/>
      <c r="AH505" s="102"/>
      <c r="AI505" s="102"/>
      <c r="AJ505" s="906"/>
      <c r="AK505" s="102"/>
      <c r="AL505" s="915"/>
      <c r="AM505" s="915"/>
      <c r="AN505" s="114"/>
      <c r="AO505" s="64"/>
      <c r="AP505" s="64"/>
      <c r="AQ505" s="64"/>
      <c r="AR505" s="916"/>
      <c r="AS505" s="916"/>
      <c r="AT505" s="916"/>
      <c r="AU505" s="917"/>
      <c r="AV505" s="917"/>
      <c r="AW505" s="917"/>
      <c r="AX505" s="918"/>
      <c r="AY505" s="916"/>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917"/>
      <c r="CA505" s="917"/>
      <c r="CB505" s="64"/>
      <c r="CC505" s="919"/>
      <c r="CD505" s="919"/>
      <c r="CE505" s="64"/>
      <c r="CF505" s="528"/>
      <c r="CG505" s="529"/>
      <c r="CH505" s="64"/>
      <c r="CI505" s="64"/>
      <c r="CJ505" s="64"/>
      <c r="CK505" s="64"/>
      <c r="CL505" s="64"/>
      <c r="CM505" s="64"/>
      <c r="CN505" s="64"/>
      <c r="CO505" s="64"/>
      <c r="CP505" s="64"/>
      <c r="CQ505" s="64"/>
      <c r="CR505" s="64"/>
      <c r="CS505" s="64"/>
      <c r="CT505" s="64"/>
      <c r="CU505" s="64"/>
      <c r="CV505" s="64"/>
      <c r="CW505" s="64"/>
      <c r="CX505" s="64"/>
      <c r="CY505" s="1011"/>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c r="FC505" s="64"/>
      <c r="FD505" s="64"/>
      <c r="FE505" s="64"/>
      <c r="FF505" s="64"/>
      <c r="FG505" s="64"/>
      <c r="FH505" s="64"/>
      <c r="FI505" s="64"/>
      <c r="FJ505" s="64"/>
      <c r="FK505" s="64"/>
      <c r="FL505" s="64"/>
      <c r="FM505" s="64"/>
      <c r="FN505" s="64"/>
      <c r="FO505" s="64"/>
      <c r="FP505" s="64"/>
      <c r="FQ505" s="64"/>
      <c r="FR505" s="64"/>
      <c r="FS505" s="64"/>
      <c r="FT505" s="64"/>
      <c r="FU505" s="64"/>
      <c r="FV505" s="64"/>
      <c r="FW505" s="64"/>
      <c r="FX505" s="64"/>
      <c r="FY505" s="64"/>
      <c r="FZ505" s="64"/>
      <c r="GA505" s="64"/>
      <c r="GB505" s="64"/>
      <c r="GC505" s="64"/>
      <c r="GD505" s="64"/>
      <c r="GE505" s="64"/>
      <c r="GF505" s="64"/>
      <c r="GG505" s="64"/>
      <c r="GH505" s="64"/>
      <c r="GI505" s="64"/>
      <c r="GJ505" s="64"/>
      <c r="GK505" s="64"/>
      <c r="GL505" s="64"/>
      <c r="GM505" s="64"/>
      <c r="GN505" s="64"/>
      <c r="GO505" s="64"/>
      <c r="GP505" s="64"/>
      <c r="GQ505" s="64"/>
      <c r="GR505" s="64"/>
      <c r="GS505" s="64"/>
      <c r="GT505" s="64"/>
      <c r="GU505" s="64"/>
      <c r="GV505" s="64"/>
      <c r="GW505" s="64"/>
      <c r="GX505" s="64"/>
      <c r="GY505" s="64"/>
      <c r="GZ505" s="64"/>
      <c r="HA505" s="64"/>
      <c r="HB505" s="64"/>
      <c r="HC505" s="64"/>
      <c r="HD505" s="64"/>
      <c r="HE505" s="64"/>
      <c r="HF505" s="64"/>
      <c r="HG505" s="64"/>
      <c r="HH505" s="64"/>
      <c r="HI505" s="64"/>
      <c r="HJ505" s="64"/>
      <c r="HK505" s="64"/>
      <c r="HL505" s="64"/>
      <c r="HM505" s="64"/>
      <c r="HN505" s="64"/>
      <c r="HO505" s="64"/>
      <c r="HP505" s="64"/>
      <c r="HQ505" s="64"/>
      <c r="HR505" s="64"/>
      <c r="HS505" s="64"/>
      <c r="HT505" s="64"/>
      <c r="HU505" s="64"/>
      <c r="HV505" s="64"/>
      <c r="HW505" s="64"/>
      <c r="HX505" s="64"/>
      <c r="HY505" s="64"/>
      <c r="HZ505" s="64"/>
      <c r="IA505" s="64"/>
      <c r="IB505" s="64"/>
      <c r="IC505" s="64"/>
      <c r="ID505" s="64"/>
      <c r="IE505" s="64"/>
      <c r="IF505" s="64"/>
      <c r="IG505" s="64"/>
      <c r="IH505" s="64"/>
      <c r="II505" s="64"/>
      <c r="IJ505" s="64"/>
      <c r="IK505" s="64"/>
      <c r="IL505" s="64"/>
      <c r="IM505" s="64"/>
      <c r="IN505" s="64"/>
      <c r="IO505" s="64"/>
      <c r="IP505" s="64"/>
      <c r="IQ505" s="64"/>
      <c r="IR505" s="64"/>
      <c r="IS505" s="64"/>
      <c r="IT505" s="64"/>
      <c r="IU505" s="64"/>
      <c r="IV505" s="64"/>
      <c r="IW505" s="64"/>
      <c r="IX505" s="64"/>
      <c r="IY505" s="64"/>
      <c r="IZ505" s="64"/>
      <c r="JA505" s="64"/>
      <c r="JB505" s="64"/>
      <c r="JC505" s="64"/>
      <c r="JD505" s="64"/>
      <c r="JE505" s="64"/>
      <c r="JF505" s="64"/>
      <c r="JG505" s="64"/>
      <c r="JH505" s="64"/>
      <c r="JI505" s="64"/>
    </row>
    <row r="506" spans="1:269" s="920" customFormat="1" x14ac:dyDescent="0.2">
      <c r="A506" s="116"/>
      <c r="B506" s="64"/>
      <c r="C506" s="64"/>
      <c r="D506" s="64"/>
      <c r="E506" s="64"/>
      <c r="F506" s="64"/>
      <c r="G506" s="64"/>
      <c r="H506" s="64"/>
      <c r="I506" s="64"/>
      <c r="J506" s="116"/>
      <c r="K506" s="116"/>
      <c r="L506" s="116"/>
      <c r="M506" s="116"/>
      <c r="N506" s="116"/>
      <c r="O506" s="116"/>
      <c r="P506" s="116"/>
      <c r="Q506" s="102"/>
      <c r="R506" s="102"/>
      <c r="S506" s="102"/>
      <c r="T506" s="102"/>
      <c r="U506" s="913"/>
      <c r="V506" s="114"/>
      <c r="W506" s="805"/>
      <c r="X506" s="805"/>
      <c r="Y506" s="805"/>
      <c r="Z506" s="914"/>
      <c r="AA506" s="102"/>
      <c r="AB506" s="102"/>
      <c r="AC506" s="102"/>
      <c r="AD506" s="102"/>
      <c r="AE506" s="102"/>
      <c r="AF506" s="102"/>
      <c r="AG506" s="102"/>
      <c r="AH506" s="102"/>
      <c r="AI506" s="102"/>
      <c r="AJ506" s="906"/>
      <c r="AK506" s="102"/>
      <c r="AL506" s="915"/>
      <c r="AM506" s="915"/>
      <c r="AN506" s="114"/>
      <c r="AO506" s="64"/>
      <c r="AP506" s="64"/>
      <c r="AQ506" s="64"/>
      <c r="AR506" s="916"/>
      <c r="AS506" s="916"/>
      <c r="AT506" s="916"/>
      <c r="AU506" s="917"/>
      <c r="AV506" s="917"/>
      <c r="AW506" s="917"/>
      <c r="AX506" s="918"/>
      <c r="AY506" s="916"/>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917"/>
      <c r="CA506" s="917"/>
      <c r="CB506" s="64"/>
      <c r="CC506" s="919"/>
      <c r="CD506" s="919"/>
      <c r="CE506" s="64"/>
      <c r="CF506" s="528"/>
      <c r="CG506" s="529"/>
      <c r="CH506" s="64"/>
      <c r="CI506" s="64"/>
      <c r="CJ506" s="64"/>
      <c r="CK506" s="64"/>
      <c r="CL506" s="64"/>
      <c r="CM506" s="64"/>
      <c r="CN506" s="64"/>
      <c r="CO506" s="64"/>
      <c r="CP506" s="64"/>
      <c r="CQ506" s="64"/>
      <c r="CR506" s="64"/>
      <c r="CS506" s="64"/>
      <c r="CT506" s="64"/>
      <c r="CU506" s="64"/>
      <c r="CV506" s="64"/>
      <c r="CW506" s="64"/>
      <c r="CX506" s="64"/>
      <c r="CY506" s="1011"/>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c r="FC506" s="64"/>
      <c r="FD506" s="64"/>
      <c r="FE506" s="64"/>
      <c r="FF506" s="64"/>
      <c r="FG506" s="64"/>
      <c r="FH506" s="64"/>
      <c r="FI506" s="64"/>
      <c r="FJ506" s="64"/>
      <c r="FK506" s="64"/>
      <c r="FL506" s="64"/>
      <c r="FM506" s="64"/>
      <c r="FN506" s="64"/>
      <c r="FO506" s="64"/>
      <c r="FP506" s="64"/>
      <c r="FQ506" s="64"/>
      <c r="FR506" s="64"/>
      <c r="FS506" s="64"/>
      <c r="FT506" s="64"/>
      <c r="FU506" s="64"/>
      <c r="FV506" s="64"/>
      <c r="FW506" s="64"/>
      <c r="FX506" s="64"/>
      <c r="FY506" s="64"/>
      <c r="FZ506" s="64"/>
      <c r="GA506" s="64"/>
      <c r="GB506" s="64"/>
      <c r="GC506" s="64"/>
      <c r="GD506" s="64"/>
      <c r="GE506" s="64"/>
      <c r="GF506" s="64"/>
      <c r="GG506" s="64"/>
      <c r="GH506" s="64"/>
      <c r="GI506" s="64"/>
      <c r="GJ506" s="64"/>
      <c r="GK506" s="64"/>
      <c r="GL506" s="64"/>
      <c r="GM506" s="64"/>
      <c r="GN506" s="64"/>
      <c r="GO506" s="64"/>
      <c r="GP506" s="64"/>
      <c r="GQ506" s="64"/>
      <c r="GR506" s="64"/>
      <c r="GS506" s="64"/>
      <c r="GT506" s="64"/>
      <c r="GU506" s="64"/>
      <c r="GV506" s="64"/>
      <c r="GW506" s="64"/>
      <c r="GX506" s="64"/>
      <c r="GY506" s="64"/>
      <c r="GZ506" s="64"/>
      <c r="HA506" s="64"/>
      <c r="HB506" s="64"/>
      <c r="HC506" s="64"/>
      <c r="HD506" s="64"/>
      <c r="HE506" s="64"/>
      <c r="HF506" s="64"/>
      <c r="HG506" s="64"/>
      <c r="HH506" s="64"/>
      <c r="HI506" s="64"/>
      <c r="HJ506" s="64"/>
      <c r="HK506" s="64"/>
      <c r="HL506" s="64"/>
      <c r="HM506" s="64"/>
      <c r="HN506" s="64"/>
      <c r="HO506" s="64"/>
      <c r="HP506" s="64"/>
      <c r="HQ506" s="64"/>
      <c r="HR506" s="64"/>
      <c r="HS506" s="64"/>
      <c r="HT506" s="64"/>
      <c r="HU506" s="64"/>
      <c r="HV506" s="64"/>
      <c r="HW506" s="64"/>
      <c r="HX506" s="64"/>
      <c r="HY506" s="64"/>
      <c r="HZ506" s="64"/>
      <c r="IA506" s="64"/>
      <c r="IB506" s="64"/>
      <c r="IC506" s="64"/>
      <c r="ID506" s="64"/>
      <c r="IE506" s="64"/>
      <c r="IF506" s="64"/>
      <c r="IG506" s="64"/>
      <c r="IH506" s="64"/>
      <c r="II506" s="64"/>
      <c r="IJ506" s="64"/>
      <c r="IK506" s="64"/>
      <c r="IL506" s="64"/>
      <c r="IM506" s="64"/>
      <c r="IN506" s="64"/>
      <c r="IO506" s="64"/>
      <c r="IP506" s="64"/>
      <c r="IQ506" s="64"/>
      <c r="IR506" s="64"/>
      <c r="IS506" s="64"/>
      <c r="IT506" s="64"/>
      <c r="IU506" s="64"/>
      <c r="IV506" s="64"/>
      <c r="IW506" s="64"/>
      <c r="IX506" s="64"/>
      <c r="IY506" s="64"/>
      <c r="IZ506" s="64"/>
      <c r="JA506" s="64"/>
      <c r="JB506" s="64"/>
      <c r="JC506" s="64"/>
      <c r="JD506" s="64"/>
      <c r="JE506" s="64"/>
      <c r="JF506" s="64"/>
      <c r="JG506" s="64"/>
      <c r="JH506" s="64"/>
      <c r="JI506" s="64"/>
    </row>
    <row r="507" spans="1:269" s="920" customFormat="1" x14ac:dyDescent="0.2">
      <c r="A507" s="116"/>
      <c r="B507" s="64"/>
      <c r="C507" s="64"/>
      <c r="D507" s="64"/>
      <c r="E507" s="64"/>
      <c r="F507" s="64"/>
      <c r="G507" s="64"/>
      <c r="H507" s="64"/>
      <c r="I507" s="64"/>
      <c r="J507" s="116"/>
      <c r="K507" s="116"/>
      <c r="L507" s="116"/>
      <c r="M507" s="116"/>
      <c r="N507" s="116"/>
      <c r="O507" s="116"/>
      <c r="P507" s="116"/>
      <c r="Q507" s="102"/>
      <c r="R507" s="102"/>
      <c r="S507" s="102"/>
      <c r="T507" s="102"/>
      <c r="U507" s="913"/>
      <c r="V507" s="114"/>
      <c r="W507" s="805"/>
      <c r="X507" s="805"/>
      <c r="Y507" s="805"/>
      <c r="Z507" s="914"/>
      <c r="AA507" s="102"/>
      <c r="AB507" s="102"/>
      <c r="AC507" s="102"/>
      <c r="AD507" s="102"/>
      <c r="AE507" s="102"/>
      <c r="AF507" s="102"/>
      <c r="AG507" s="102"/>
      <c r="AH507" s="102"/>
      <c r="AI507" s="102"/>
      <c r="AJ507" s="906"/>
      <c r="AK507" s="102"/>
      <c r="AL507" s="915"/>
      <c r="AM507" s="915"/>
      <c r="AN507" s="114"/>
      <c r="AO507" s="64"/>
      <c r="AP507" s="64"/>
      <c r="AQ507" s="64"/>
      <c r="AR507" s="916"/>
      <c r="AS507" s="916"/>
      <c r="AT507" s="916"/>
      <c r="AU507" s="917"/>
      <c r="AV507" s="917"/>
      <c r="AW507" s="917"/>
      <c r="AX507" s="918"/>
      <c r="AY507" s="916"/>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917"/>
      <c r="CA507" s="917"/>
      <c r="CB507" s="64"/>
      <c r="CC507" s="919"/>
      <c r="CD507" s="919"/>
      <c r="CE507" s="64"/>
      <c r="CF507" s="528"/>
      <c r="CG507" s="529"/>
      <c r="CH507" s="64"/>
      <c r="CI507" s="64"/>
      <c r="CJ507" s="64"/>
      <c r="CK507" s="64"/>
      <c r="CL507" s="64"/>
      <c r="CM507" s="64"/>
      <c r="CN507" s="64"/>
      <c r="CO507" s="64"/>
      <c r="CP507" s="64"/>
      <c r="CQ507" s="64"/>
      <c r="CR507" s="64"/>
      <c r="CS507" s="64"/>
      <c r="CT507" s="64"/>
      <c r="CU507" s="64"/>
      <c r="CV507" s="64"/>
      <c r="CW507" s="64"/>
      <c r="CX507" s="64"/>
      <c r="CY507" s="1011"/>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c r="FC507" s="64"/>
      <c r="FD507" s="64"/>
      <c r="FE507" s="64"/>
      <c r="FF507" s="64"/>
      <c r="FG507" s="64"/>
      <c r="FH507" s="64"/>
      <c r="FI507" s="64"/>
      <c r="FJ507" s="64"/>
      <c r="FK507" s="64"/>
      <c r="FL507" s="64"/>
      <c r="FM507" s="64"/>
      <c r="FN507" s="64"/>
      <c r="FO507" s="64"/>
      <c r="FP507" s="64"/>
      <c r="FQ507" s="64"/>
      <c r="FR507" s="64"/>
      <c r="FS507" s="64"/>
      <c r="FT507" s="64"/>
      <c r="FU507" s="64"/>
      <c r="FV507" s="64"/>
      <c r="FW507" s="64"/>
      <c r="FX507" s="64"/>
      <c r="FY507" s="64"/>
      <c r="FZ507" s="64"/>
      <c r="GA507" s="64"/>
      <c r="GB507" s="64"/>
      <c r="GC507" s="64"/>
      <c r="GD507" s="64"/>
      <c r="GE507" s="64"/>
      <c r="GF507" s="64"/>
      <c r="GG507" s="64"/>
      <c r="GH507" s="64"/>
      <c r="GI507" s="64"/>
      <c r="GJ507" s="64"/>
      <c r="GK507" s="64"/>
      <c r="GL507" s="64"/>
      <c r="GM507" s="64"/>
      <c r="GN507" s="64"/>
      <c r="GO507" s="64"/>
      <c r="GP507" s="64"/>
      <c r="GQ507" s="64"/>
      <c r="GR507" s="64"/>
      <c r="GS507" s="64"/>
      <c r="GT507" s="64"/>
      <c r="GU507" s="64"/>
      <c r="GV507" s="64"/>
      <c r="GW507" s="64"/>
      <c r="GX507" s="64"/>
      <c r="GY507" s="64"/>
      <c r="GZ507" s="64"/>
      <c r="HA507" s="64"/>
      <c r="HB507" s="64"/>
      <c r="HC507" s="64"/>
      <c r="HD507" s="64"/>
      <c r="HE507" s="64"/>
      <c r="HF507" s="64"/>
      <c r="HG507" s="64"/>
      <c r="HH507" s="64"/>
      <c r="HI507" s="64"/>
      <c r="HJ507" s="64"/>
      <c r="HK507" s="64"/>
      <c r="HL507" s="64"/>
      <c r="HM507" s="64"/>
      <c r="HN507" s="64"/>
      <c r="HO507" s="64"/>
      <c r="HP507" s="64"/>
      <c r="HQ507" s="64"/>
      <c r="HR507" s="64"/>
      <c r="HS507" s="64"/>
      <c r="HT507" s="64"/>
      <c r="HU507" s="64"/>
      <c r="HV507" s="64"/>
      <c r="HW507" s="64"/>
      <c r="HX507" s="64"/>
      <c r="HY507" s="64"/>
      <c r="HZ507" s="64"/>
      <c r="IA507" s="64"/>
      <c r="IB507" s="64"/>
      <c r="IC507" s="64"/>
      <c r="ID507" s="64"/>
      <c r="IE507" s="64"/>
      <c r="IF507" s="64"/>
      <c r="IG507" s="64"/>
      <c r="IH507" s="64"/>
      <c r="II507" s="64"/>
      <c r="IJ507" s="64"/>
      <c r="IK507" s="64"/>
      <c r="IL507" s="64"/>
      <c r="IM507" s="64"/>
      <c r="IN507" s="64"/>
      <c r="IO507" s="64"/>
      <c r="IP507" s="64"/>
      <c r="IQ507" s="64"/>
      <c r="IR507" s="64"/>
      <c r="IS507" s="64"/>
      <c r="IT507" s="64"/>
      <c r="IU507" s="64"/>
      <c r="IV507" s="64"/>
      <c r="IW507" s="64"/>
      <c r="IX507" s="64"/>
      <c r="IY507" s="64"/>
      <c r="IZ507" s="64"/>
      <c r="JA507" s="64"/>
      <c r="JB507" s="64"/>
      <c r="JC507" s="64"/>
      <c r="JD507" s="64"/>
      <c r="JE507" s="64"/>
      <c r="JF507" s="64"/>
      <c r="JG507" s="64"/>
      <c r="JH507" s="64"/>
      <c r="JI507" s="64"/>
    </row>
    <row r="508" spans="1:269" s="920" customFormat="1" x14ac:dyDescent="0.2">
      <c r="A508" s="116"/>
      <c r="B508" s="64"/>
      <c r="C508" s="64"/>
      <c r="D508" s="64"/>
      <c r="E508" s="64"/>
      <c r="F508" s="64"/>
      <c r="G508" s="64"/>
      <c r="H508" s="64"/>
      <c r="I508" s="64"/>
      <c r="J508" s="116"/>
      <c r="K508" s="116"/>
      <c r="L508" s="116"/>
      <c r="M508" s="116"/>
      <c r="N508" s="116"/>
      <c r="O508" s="116"/>
      <c r="P508" s="116"/>
      <c r="Q508" s="102"/>
      <c r="R508" s="102"/>
      <c r="S508" s="102"/>
      <c r="T508" s="102"/>
      <c r="U508" s="913"/>
      <c r="V508" s="114"/>
      <c r="W508" s="805"/>
      <c r="X508" s="805"/>
      <c r="Y508" s="805"/>
      <c r="Z508" s="914"/>
      <c r="AA508" s="102"/>
      <c r="AB508" s="102"/>
      <c r="AC508" s="102"/>
      <c r="AD508" s="102"/>
      <c r="AE508" s="102"/>
      <c r="AF508" s="102"/>
      <c r="AG508" s="102"/>
      <c r="AH508" s="102"/>
      <c r="AI508" s="102"/>
      <c r="AJ508" s="906"/>
      <c r="AK508" s="102"/>
      <c r="AL508" s="915"/>
      <c r="AM508" s="915"/>
      <c r="AN508" s="114"/>
      <c r="AO508" s="64"/>
      <c r="AP508" s="64"/>
      <c r="AQ508" s="64"/>
      <c r="AR508" s="916"/>
      <c r="AS508" s="916"/>
      <c r="AT508" s="916"/>
      <c r="AU508" s="917"/>
      <c r="AV508" s="917"/>
      <c r="AW508" s="917"/>
      <c r="AX508" s="918"/>
      <c r="AY508" s="916"/>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917"/>
      <c r="CA508" s="917"/>
      <c r="CB508" s="64"/>
      <c r="CC508" s="919"/>
      <c r="CD508" s="919"/>
      <c r="CE508" s="64"/>
      <c r="CF508" s="528"/>
      <c r="CG508" s="529"/>
      <c r="CH508" s="64"/>
      <c r="CI508" s="64"/>
      <c r="CJ508" s="64"/>
      <c r="CK508" s="64"/>
      <c r="CL508" s="64"/>
      <c r="CM508" s="64"/>
      <c r="CN508" s="64"/>
      <c r="CO508" s="64"/>
      <c r="CP508" s="64"/>
      <c r="CQ508" s="64"/>
      <c r="CR508" s="64"/>
      <c r="CS508" s="64"/>
      <c r="CT508" s="64"/>
      <c r="CU508" s="64"/>
      <c r="CV508" s="64"/>
      <c r="CW508" s="64"/>
      <c r="CX508" s="64"/>
      <c r="CY508" s="1011"/>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c r="FC508" s="64"/>
      <c r="FD508" s="64"/>
      <c r="FE508" s="64"/>
      <c r="FF508" s="64"/>
      <c r="FG508" s="64"/>
      <c r="FH508" s="64"/>
      <c r="FI508" s="64"/>
      <c r="FJ508" s="64"/>
      <c r="FK508" s="64"/>
      <c r="FL508" s="64"/>
      <c r="FM508" s="64"/>
      <c r="FN508" s="64"/>
      <c r="FO508" s="64"/>
      <c r="FP508" s="64"/>
      <c r="FQ508" s="64"/>
      <c r="FR508" s="64"/>
      <c r="FS508" s="64"/>
      <c r="FT508" s="64"/>
      <c r="FU508" s="64"/>
      <c r="FV508" s="64"/>
      <c r="FW508" s="64"/>
      <c r="FX508" s="64"/>
      <c r="FY508" s="64"/>
      <c r="FZ508" s="64"/>
      <c r="GA508" s="64"/>
      <c r="GB508" s="64"/>
      <c r="GC508" s="64"/>
      <c r="GD508" s="64"/>
      <c r="GE508" s="64"/>
      <c r="GF508" s="64"/>
      <c r="GG508" s="64"/>
      <c r="GH508" s="64"/>
      <c r="GI508" s="64"/>
      <c r="GJ508" s="64"/>
      <c r="GK508" s="64"/>
      <c r="GL508" s="64"/>
      <c r="GM508" s="64"/>
      <c r="GN508" s="64"/>
      <c r="GO508" s="64"/>
      <c r="GP508" s="64"/>
      <c r="GQ508" s="64"/>
      <c r="GR508" s="64"/>
      <c r="GS508" s="64"/>
      <c r="GT508" s="64"/>
      <c r="GU508" s="64"/>
      <c r="GV508" s="64"/>
      <c r="GW508" s="64"/>
      <c r="GX508" s="64"/>
      <c r="GY508" s="64"/>
      <c r="GZ508" s="64"/>
      <c r="HA508" s="64"/>
      <c r="HB508" s="64"/>
      <c r="HC508" s="64"/>
      <c r="HD508" s="64"/>
      <c r="HE508" s="64"/>
      <c r="HF508" s="64"/>
      <c r="HG508" s="64"/>
      <c r="HH508" s="64"/>
      <c r="HI508" s="64"/>
      <c r="HJ508" s="64"/>
      <c r="HK508" s="64"/>
      <c r="HL508" s="64"/>
      <c r="HM508" s="64"/>
      <c r="HN508" s="64"/>
      <c r="HO508" s="64"/>
      <c r="HP508" s="64"/>
      <c r="HQ508" s="64"/>
      <c r="HR508" s="64"/>
      <c r="HS508" s="64"/>
      <c r="HT508" s="64"/>
      <c r="HU508" s="64"/>
      <c r="HV508" s="64"/>
      <c r="HW508" s="64"/>
      <c r="HX508" s="64"/>
      <c r="HY508" s="64"/>
      <c r="HZ508" s="64"/>
      <c r="IA508" s="64"/>
      <c r="IB508" s="64"/>
      <c r="IC508" s="64"/>
      <c r="ID508" s="64"/>
      <c r="IE508" s="64"/>
      <c r="IF508" s="64"/>
      <c r="IG508" s="64"/>
      <c r="IH508" s="64"/>
      <c r="II508" s="64"/>
      <c r="IJ508" s="64"/>
      <c r="IK508" s="64"/>
      <c r="IL508" s="64"/>
      <c r="IM508" s="64"/>
      <c r="IN508" s="64"/>
      <c r="IO508" s="64"/>
      <c r="IP508" s="64"/>
      <c r="IQ508" s="64"/>
      <c r="IR508" s="64"/>
      <c r="IS508" s="64"/>
      <c r="IT508" s="64"/>
      <c r="IU508" s="64"/>
      <c r="IV508" s="64"/>
      <c r="IW508" s="64"/>
      <c r="IX508" s="64"/>
      <c r="IY508" s="64"/>
      <c r="IZ508" s="64"/>
      <c r="JA508" s="64"/>
      <c r="JB508" s="64"/>
      <c r="JC508" s="64"/>
      <c r="JD508" s="64"/>
      <c r="JE508" s="64"/>
      <c r="JF508" s="64"/>
      <c r="JG508" s="64"/>
      <c r="JH508" s="64"/>
      <c r="JI508" s="64"/>
    </row>
    <row r="509" spans="1:269" s="920" customFormat="1" x14ac:dyDescent="0.2">
      <c r="A509" s="116"/>
      <c r="B509" s="64"/>
      <c r="C509" s="64"/>
      <c r="D509" s="64"/>
      <c r="E509" s="64"/>
      <c r="F509" s="64"/>
      <c r="G509" s="64"/>
      <c r="H509" s="64"/>
      <c r="I509" s="64"/>
      <c r="J509" s="116"/>
      <c r="K509" s="116"/>
      <c r="L509" s="116"/>
      <c r="M509" s="116"/>
      <c r="N509" s="116"/>
      <c r="O509" s="116"/>
      <c r="P509" s="116"/>
      <c r="Q509" s="102"/>
      <c r="R509" s="102"/>
      <c r="S509" s="102"/>
      <c r="T509" s="102"/>
      <c r="U509" s="913"/>
      <c r="V509" s="114"/>
      <c r="W509" s="805"/>
      <c r="X509" s="805"/>
      <c r="Y509" s="805"/>
      <c r="Z509" s="914"/>
      <c r="AA509" s="102"/>
      <c r="AB509" s="102"/>
      <c r="AC509" s="102"/>
      <c r="AD509" s="102"/>
      <c r="AE509" s="102"/>
      <c r="AF509" s="102"/>
      <c r="AG509" s="102"/>
      <c r="AH509" s="102"/>
      <c r="AI509" s="102"/>
      <c r="AJ509" s="906"/>
      <c r="AK509" s="102"/>
      <c r="AL509" s="915"/>
      <c r="AM509" s="915"/>
      <c r="AN509" s="114"/>
      <c r="AO509" s="64"/>
      <c r="AP509" s="64"/>
      <c r="AQ509" s="64"/>
      <c r="AR509" s="916"/>
      <c r="AS509" s="916"/>
      <c r="AT509" s="916"/>
      <c r="AU509" s="917"/>
      <c r="AV509" s="917"/>
      <c r="AW509" s="917"/>
      <c r="AX509" s="918"/>
      <c r="AY509" s="916"/>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917"/>
      <c r="CA509" s="917"/>
      <c r="CB509" s="64"/>
      <c r="CC509" s="919"/>
      <c r="CD509" s="919"/>
      <c r="CE509" s="64"/>
      <c r="CF509" s="528"/>
      <c r="CG509" s="529"/>
      <c r="CH509" s="64"/>
      <c r="CI509" s="64"/>
      <c r="CJ509" s="64"/>
      <c r="CK509" s="64"/>
      <c r="CL509" s="64"/>
      <c r="CM509" s="64"/>
      <c r="CN509" s="64"/>
      <c r="CO509" s="64"/>
      <c r="CP509" s="64"/>
      <c r="CQ509" s="64"/>
      <c r="CR509" s="64"/>
      <c r="CS509" s="64"/>
      <c r="CT509" s="64"/>
      <c r="CU509" s="64"/>
      <c r="CV509" s="64"/>
      <c r="CW509" s="64"/>
      <c r="CX509" s="64"/>
      <c r="CY509" s="1011"/>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c r="FC509" s="64"/>
      <c r="FD509" s="64"/>
      <c r="FE509" s="64"/>
      <c r="FF509" s="64"/>
      <c r="FG509" s="64"/>
      <c r="FH509" s="64"/>
      <c r="FI509" s="64"/>
      <c r="FJ509" s="64"/>
      <c r="FK509" s="64"/>
      <c r="FL509" s="64"/>
      <c r="FM509" s="64"/>
      <c r="FN509" s="64"/>
      <c r="FO509" s="64"/>
      <c r="FP509" s="64"/>
      <c r="FQ509" s="64"/>
      <c r="FR509" s="64"/>
      <c r="FS509" s="64"/>
      <c r="FT509" s="64"/>
      <c r="FU509" s="64"/>
      <c r="FV509" s="64"/>
      <c r="FW509" s="64"/>
      <c r="FX509" s="64"/>
      <c r="FY509" s="64"/>
      <c r="FZ509" s="64"/>
      <c r="GA509" s="64"/>
      <c r="GB509" s="64"/>
      <c r="GC509" s="64"/>
      <c r="GD509" s="64"/>
      <c r="GE509" s="64"/>
      <c r="GF509" s="64"/>
      <c r="GG509" s="64"/>
      <c r="GH509" s="64"/>
      <c r="GI509" s="64"/>
      <c r="GJ509" s="64"/>
      <c r="GK509" s="64"/>
      <c r="GL509" s="64"/>
      <c r="GM509" s="64"/>
      <c r="GN509" s="64"/>
      <c r="GO509" s="64"/>
      <c r="GP509" s="64"/>
      <c r="GQ509" s="64"/>
      <c r="GR509" s="64"/>
      <c r="GS509" s="64"/>
      <c r="GT509" s="64"/>
      <c r="GU509" s="64"/>
      <c r="GV509" s="64"/>
      <c r="GW509" s="64"/>
      <c r="GX509" s="64"/>
      <c r="GY509" s="64"/>
      <c r="GZ509" s="64"/>
      <c r="HA509" s="64"/>
      <c r="HB509" s="64"/>
      <c r="HC509" s="64"/>
      <c r="HD509" s="64"/>
      <c r="HE509" s="64"/>
      <c r="HF509" s="64"/>
      <c r="HG509" s="64"/>
      <c r="HH509" s="64"/>
      <c r="HI509" s="64"/>
      <c r="HJ509" s="64"/>
      <c r="HK509" s="64"/>
      <c r="HL509" s="64"/>
      <c r="HM509" s="64"/>
      <c r="HN509" s="64"/>
      <c r="HO509" s="64"/>
      <c r="HP509" s="64"/>
      <c r="HQ509" s="64"/>
      <c r="HR509" s="64"/>
      <c r="HS509" s="64"/>
      <c r="HT509" s="64"/>
      <c r="HU509" s="64"/>
      <c r="HV509" s="64"/>
      <c r="HW509" s="64"/>
      <c r="HX509" s="64"/>
      <c r="HY509" s="64"/>
      <c r="HZ509" s="64"/>
      <c r="IA509" s="64"/>
      <c r="IB509" s="64"/>
      <c r="IC509" s="64"/>
      <c r="ID509" s="64"/>
      <c r="IE509" s="64"/>
      <c r="IF509" s="64"/>
      <c r="IG509" s="64"/>
      <c r="IH509" s="64"/>
      <c r="II509" s="64"/>
      <c r="IJ509" s="64"/>
      <c r="IK509" s="64"/>
      <c r="IL509" s="64"/>
      <c r="IM509" s="64"/>
      <c r="IN509" s="64"/>
      <c r="IO509" s="64"/>
      <c r="IP509" s="64"/>
      <c r="IQ509" s="64"/>
      <c r="IR509" s="64"/>
      <c r="IS509" s="64"/>
      <c r="IT509" s="64"/>
      <c r="IU509" s="64"/>
      <c r="IV509" s="64"/>
      <c r="IW509" s="64"/>
      <c r="IX509" s="64"/>
      <c r="IY509" s="64"/>
      <c r="IZ509" s="64"/>
      <c r="JA509" s="64"/>
      <c r="JB509" s="64"/>
      <c r="JC509" s="64"/>
      <c r="JD509" s="64"/>
      <c r="JE509" s="64"/>
      <c r="JF509" s="64"/>
      <c r="JG509" s="64"/>
      <c r="JH509" s="64"/>
      <c r="JI509" s="64"/>
    </row>
    <row r="510" spans="1:269" s="920" customFormat="1" x14ac:dyDescent="0.2">
      <c r="A510" s="116"/>
      <c r="B510" s="64"/>
      <c r="C510" s="64"/>
      <c r="D510" s="64"/>
      <c r="E510" s="64"/>
      <c r="F510" s="64"/>
      <c r="G510" s="64"/>
      <c r="H510" s="64"/>
      <c r="I510" s="64"/>
      <c r="J510" s="116"/>
      <c r="K510" s="116"/>
      <c r="L510" s="116"/>
      <c r="M510" s="116"/>
      <c r="N510" s="116"/>
      <c r="O510" s="116"/>
      <c r="P510" s="116"/>
      <c r="Q510" s="102"/>
      <c r="R510" s="102"/>
      <c r="S510" s="102"/>
      <c r="T510" s="102"/>
      <c r="U510" s="913"/>
      <c r="V510" s="114"/>
      <c r="W510" s="805"/>
      <c r="X510" s="805"/>
      <c r="Y510" s="805"/>
      <c r="Z510" s="914"/>
      <c r="AA510" s="102"/>
      <c r="AB510" s="102"/>
      <c r="AC510" s="102"/>
      <c r="AD510" s="102"/>
      <c r="AE510" s="102"/>
      <c r="AF510" s="102"/>
      <c r="AG510" s="102"/>
      <c r="AH510" s="102"/>
      <c r="AI510" s="102"/>
      <c r="AJ510" s="906"/>
      <c r="AK510" s="102"/>
      <c r="AL510" s="915"/>
      <c r="AM510" s="915"/>
      <c r="AN510" s="114"/>
      <c r="AO510" s="64"/>
      <c r="AP510" s="64"/>
      <c r="AQ510" s="64"/>
      <c r="AR510" s="916"/>
      <c r="AS510" s="916"/>
      <c r="AT510" s="916"/>
      <c r="AU510" s="917"/>
      <c r="AV510" s="917"/>
      <c r="AW510" s="917"/>
      <c r="AX510" s="918"/>
      <c r="AY510" s="916"/>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917"/>
      <c r="CA510" s="917"/>
      <c r="CB510" s="64"/>
      <c r="CC510" s="919"/>
      <c r="CD510" s="919"/>
      <c r="CE510" s="64"/>
      <c r="CF510" s="528"/>
      <c r="CG510" s="529"/>
      <c r="CH510" s="64"/>
      <c r="CI510" s="64"/>
      <c r="CJ510" s="64"/>
      <c r="CK510" s="64"/>
      <c r="CL510" s="64"/>
      <c r="CM510" s="64"/>
      <c r="CN510" s="64"/>
      <c r="CO510" s="64"/>
      <c r="CP510" s="64"/>
      <c r="CQ510" s="64"/>
      <c r="CR510" s="64"/>
      <c r="CS510" s="64"/>
      <c r="CT510" s="64"/>
      <c r="CU510" s="64"/>
      <c r="CV510" s="64"/>
      <c r="CW510" s="64"/>
      <c r="CX510" s="64"/>
      <c r="CY510" s="1011"/>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c r="FC510" s="64"/>
      <c r="FD510" s="64"/>
      <c r="FE510" s="64"/>
      <c r="FF510" s="64"/>
      <c r="FG510" s="64"/>
      <c r="FH510" s="64"/>
      <c r="FI510" s="64"/>
      <c r="FJ510" s="64"/>
      <c r="FK510" s="64"/>
      <c r="FL510" s="64"/>
      <c r="FM510" s="64"/>
      <c r="FN510" s="64"/>
      <c r="FO510" s="64"/>
      <c r="FP510" s="64"/>
      <c r="FQ510" s="64"/>
      <c r="FR510" s="64"/>
      <c r="FS510" s="64"/>
      <c r="FT510" s="64"/>
      <c r="FU510" s="64"/>
      <c r="FV510" s="64"/>
      <c r="FW510" s="64"/>
      <c r="FX510" s="64"/>
      <c r="FY510" s="64"/>
      <c r="FZ510" s="64"/>
      <c r="GA510" s="64"/>
      <c r="GB510" s="64"/>
      <c r="GC510" s="64"/>
      <c r="GD510" s="64"/>
      <c r="GE510" s="64"/>
      <c r="GF510" s="64"/>
      <c r="GG510" s="64"/>
      <c r="GH510" s="64"/>
      <c r="GI510" s="64"/>
      <c r="GJ510" s="64"/>
      <c r="GK510" s="64"/>
      <c r="GL510" s="64"/>
      <c r="GM510" s="64"/>
      <c r="GN510" s="64"/>
      <c r="GO510" s="64"/>
      <c r="GP510" s="64"/>
      <c r="GQ510" s="64"/>
      <c r="GR510" s="64"/>
      <c r="GS510" s="64"/>
      <c r="GT510" s="64"/>
      <c r="GU510" s="64"/>
      <c r="GV510" s="64"/>
      <c r="GW510" s="64"/>
      <c r="GX510" s="64"/>
      <c r="GY510" s="64"/>
      <c r="GZ510" s="64"/>
      <c r="HA510" s="64"/>
      <c r="HB510" s="64"/>
      <c r="HC510" s="64"/>
      <c r="HD510" s="64"/>
      <c r="HE510" s="64"/>
      <c r="HF510" s="64"/>
      <c r="HG510" s="64"/>
      <c r="HH510" s="64"/>
      <c r="HI510" s="64"/>
      <c r="HJ510" s="64"/>
      <c r="HK510" s="64"/>
      <c r="HL510" s="64"/>
      <c r="HM510" s="64"/>
      <c r="HN510" s="64"/>
      <c r="HO510" s="64"/>
      <c r="HP510" s="64"/>
      <c r="HQ510" s="64"/>
      <c r="HR510" s="64"/>
      <c r="HS510" s="64"/>
      <c r="HT510" s="64"/>
      <c r="HU510" s="64"/>
      <c r="HV510" s="64"/>
      <c r="HW510" s="64"/>
      <c r="HX510" s="64"/>
      <c r="HY510" s="64"/>
      <c r="HZ510" s="64"/>
      <c r="IA510" s="64"/>
      <c r="IB510" s="64"/>
      <c r="IC510" s="64"/>
      <c r="ID510" s="64"/>
      <c r="IE510" s="64"/>
      <c r="IF510" s="64"/>
      <c r="IG510" s="64"/>
      <c r="IH510" s="64"/>
      <c r="II510" s="64"/>
      <c r="IJ510" s="64"/>
      <c r="IK510" s="64"/>
      <c r="IL510" s="64"/>
      <c r="IM510" s="64"/>
      <c r="IN510" s="64"/>
      <c r="IO510" s="64"/>
      <c r="IP510" s="64"/>
      <c r="IQ510" s="64"/>
      <c r="IR510" s="64"/>
      <c r="IS510" s="64"/>
      <c r="IT510" s="64"/>
      <c r="IU510" s="64"/>
      <c r="IV510" s="64"/>
      <c r="IW510" s="64"/>
      <c r="IX510" s="64"/>
      <c r="IY510" s="64"/>
      <c r="IZ510" s="64"/>
      <c r="JA510" s="64"/>
      <c r="JB510" s="64"/>
      <c r="JC510" s="64"/>
      <c r="JD510" s="64"/>
      <c r="JE510" s="64"/>
      <c r="JF510" s="64"/>
      <c r="JG510" s="64"/>
      <c r="JH510" s="64"/>
      <c r="JI510" s="64"/>
    </row>
    <row r="511" spans="1:269" s="920" customFormat="1" x14ac:dyDescent="0.2">
      <c r="A511" s="116"/>
      <c r="B511" s="64"/>
      <c r="C511" s="64"/>
      <c r="D511" s="64"/>
      <c r="E511" s="64"/>
      <c r="F511" s="64"/>
      <c r="G511" s="64"/>
      <c r="H511" s="64"/>
      <c r="I511" s="64"/>
      <c r="J511" s="116"/>
      <c r="K511" s="116"/>
      <c r="L511" s="116"/>
      <c r="M511" s="116"/>
      <c r="N511" s="116"/>
      <c r="O511" s="116"/>
      <c r="P511" s="116"/>
      <c r="Q511" s="102"/>
      <c r="R511" s="102"/>
      <c r="S511" s="102"/>
      <c r="T511" s="102"/>
      <c r="U511" s="913"/>
      <c r="V511" s="114"/>
      <c r="W511" s="805"/>
      <c r="X511" s="805"/>
      <c r="Y511" s="805"/>
      <c r="Z511" s="914"/>
      <c r="AA511" s="102"/>
      <c r="AB511" s="102"/>
      <c r="AC511" s="102"/>
      <c r="AD511" s="102"/>
      <c r="AE511" s="102"/>
      <c r="AF511" s="102"/>
      <c r="AG511" s="102"/>
      <c r="AH511" s="102"/>
      <c r="AI511" s="102"/>
      <c r="AJ511" s="906"/>
      <c r="AK511" s="102"/>
      <c r="AL511" s="915"/>
      <c r="AM511" s="915"/>
      <c r="AN511" s="114"/>
      <c r="AO511" s="64"/>
      <c r="AP511" s="64"/>
      <c r="AQ511" s="64"/>
      <c r="AR511" s="916"/>
      <c r="AS511" s="916"/>
      <c r="AT511" s="916"/>
      <c r="AU511" s="917"/>
      <c r="AV511" s="917"/>
      <c r="AW511" s="917"/>
      <c r="AX511" s="918"/>
      <c r="AY511" s="916"/>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917"/>
      <c r="CA511" s="917"/>
      <c r="CB511" s="64"/>
      <c r="CC511" s="919"/>
      <c r="CD511" s="919"/>
      <c r="CE511" s="64"/>
      <c r="CF511" s="528"/>
      <c r="CG511" s="529"/>
      <c r="CH511" s="64"/>
      <c r="CI511" s="64"/>
      <c r="CJ511" s="64"/>
      <c r="CK511" s="64"/>
      <c r="CL511" s="64"/>
      <c r="CM511" s="64"/>
      <c r="CN511" s="64"/>
      <c r="CO511" s="64"/>
      <c r="CP511" s="64"/>
      <c r="CQ511" s="64"/>
      <c r="CR511" s="64"/>
      <c r="CS511" s="64"/>
      <c r="CT511" s="64"/>
      <c r="CU511" s="64"/>
      <c r="CV511" s="64"/>
      <c r="CW511" s="64"/>
      <c r="CX511" s="64"/>
      <c r="CY511" s="1011"/>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c r="FC511" s="64"/>
      <c r="FD511" s="64"/>
      <c r="FE511" s="64"/>
      <c r="FF511" s="64"/>
      <c r="FG511" s="64"/>
      <c r="FH511" s="64"/>
      <c r="FI511" s="64"/>
      <c r="FJ511" s="64"/>
      <c r="FK511" s="64"/>
      <c r="FL511" s="64"/>
      <c r="FM511" s="64"/>
      <c r="FN511" s="64"/>
      <c r="FO511" s="64"/>
      <c r="FP511" s="64"/>
      <c r="FQ511" s="64"/>
      <c r="FR511" s="64"/>
      <c r="FS511" s="64"/>
      <c r="FT511" s="64"/>
      <c r="FU511" s="64"/>
      <c r="FV511" s="64"/>
      <c r="FW511" s="64"/>
      <c r="FX511" s="64"/>
      <c r="FY511" s="64"/>
      <c r="FZ511" s="64"/>
      <c r="GA511" s="64"/>
      <c r="GB511" s="64"/>
      <c r="GC511" s="64"/>
      <c r="GD511" s="64"/>
      <c r="GE511" s="64"/>
      <c r="GF511" s="64"/>
      <c r="GG511" s="64"/>
      <c r="GH511" s="64"/>
      <c r="GI511" s="64"/>
      <c r="GJ511" s="64"/>
      <c r="GK511" s="64"/>
      <c r="GL511" s="64"/>
      <c r="GM511" s="64"/>
      <c r="GN511" s="64"/>
      <c r="GO511" s="64"/>
      <c r="GP511" s="64"/>
      <c r="GQ511" s="64"/>
      <c r="GR511" s="64"/>
      <c r="GS511" s="64"/>
      <c r="GT511" s="64"/>
      <c r="GU511" s="64"/>
      <c r="GV511" s="64"/>
      <c r="GW511" s="64"/>
      <c r="GX511" s="64"/>
      <c r="GY511" s="64"/>
      <c r="GZ511" s="64"/>
      <c r="HA511" s="64"/>
      <c r="HB511" s="64"/>
      <c r="HC511" s="64"/>
      <c r="HD511" s="64"/>
      <c r="HE511" s="64"/>
      <c r="HF511" s="64"/>
      <c r="HG511" s="64"/>
      <c r="HH511" s="64"/>
      <c r="HI511" s="64"/>
      <c r="HJ511" s="64"/>
      <c r="HK511" s="64"/>
      <c r="HL511" s="64"/>
      <c r="HM511" s="64"/>
      <c r="HN511" s="64"/>
      <c r="HO511" s="64"/>
      <c r="HP511" s="64"/>
      <c r="HQ511" s="64"/>
      <c r="HR511" s="64"/>
      <c r="HS511" s="64"/>
      <c r="HT511" s="64"/>
      <c r="HU511" s="64"/>
      <c r="HV511" s="64"/>
      <c r="HW511" s="64"/>
      <c r="HX511" s="64"/>
      <c r="HY511" s="64"/>
      <c r="HZ511" s="64"/>
      <c r="IA511" s="64"/>
      <c r="IB511" s="64"/>
      <c r="IC511" s="64"/>
      <c r="ID511" s="64"/>
      <c r="IE511" s="64"/>
      <c r="IF511" s="64"/>
      <c r="IG511" s="64"/>
      <c r="IH511" s="64"/>
      <c r="II511" s="64"/>
      <c r="IJ511" s="64"/>
      <c r="IK511" s="64"/>
      <c r="IL511" s="64"/>
      <c r="IM511" s="64"/>
      <c r="IN511" s="64"/>
      <c r="IO511" s="64"/>
      <c r="IP511" s="64"/>
      <c r="IQ511" s="64"/>
      <c r="IR511" s="64"/>
      <c r="IS511" s="64"/>
      <c r="IT511" s="64"/>
      <c r="IU511" s="64"/>
      <c r="IV511" s="64"/>
      <c r="IW511" s="64"/>
      <c r="IX511" s="64"/>
      <c r="IY511" s="64"/>
      <c r="IZ511" s="64"/>
      <c r="JA511" s="64"/>
      <c r="JB511" s="64"/>
      <c r="JC511" s="64"/>
      <c r="JD511" s="64"/>
      <c r="JE511" s="64"/>
      <c r="JF511" s="64"/>
      <c r="JG511" s="64"/>
      <c r="JH511" s="64"/>
      <c r="JI511" s="64"/>
    </row>
    <row r="512" spans="1:269" s="920" customFormat="1" x14ac:dyDescent="0.2">
      <c r="A512" s="116"/>
      <c r="B512" s="64"/>
      <c r="C512" s="64"/>
      <c r="D512" s="64"/>
      <c r="E512" s="64"/>
      <c r="F512" s="64"/>
      <c r="G512" s="64"/>
      <c r="H512" s="64"/>
      <c r="I512" s="64"/>
      <c r="J512" s="116"/>
      <c r="K512" s="116"/>
      <c r="L512" s="116"/>
      <c r="M512" s="116"/>
      <c r="N512" s="116"/>
      <c r="O512" s="116"/>
      <c r="P512" s="116"/>
      <c r="Q512" s="102"/>
      <c r="R512" s="102"/>
      <c r="S512" s="102"/>
      <c r="T512" s="102"/>
      <c r="U512" s="913"/>
      <c r="V512" s="114"/>
      <c r="W512" s="805"/>
      <c r="X512" s="805"/>
      <c r="Y512" s="805"/>
      <c r="Z512" s="914"/>
      <c r="AA512" s="102"/>
      <c r="AB512" s="102"/>
      <c r="AC512" s="102"/>
      <c r="AD512" s="102"/>
      <c r="AE512" s="102"/>
      <c r="AF512" s="102"/>
      <c r="AG512" s="102"/>
      <c r="AH512" s="102"/>
      <c r="AI512" s="102"/>
      <c r="AJ512" s="906"/>
      <c r="AK512" s="102"/>
      <c r="AL512" s="915"/>
      <c r="AM512" s="915"/>
      <c r="AN512" s="114"/>
      <c r="AO512" s="64"/>
      <c r="AP512" s="64"/>
      <c r="AQ512" s="64"/>
      <c r="AR512" s="916"/>
      <c r="AS512" s="916"/>
      <c r="AT512" s="916"/>
      <c r="AU512" s="917"/>
      <c r="AV512" s="917"/>
      <c r="AW512" s="917"/>
      <c r="AX512" s="918"/>
      <c r="AY512" s="916"/>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917"/>
      <c r="CA512" s="917"/>
      <c r="CB512" s="64"/>
      <c r="CC512" s="919"/>
      <c r="CD512" s="919"/>
      <c r="CE512" s="64"/>
      <c r="CF512" s="528"/>
      <c r="CG512" s="529"/>
      <c r="CH512" s="64"/>
      <c r="CI512" s="64"/>
      <c r="CJ512" s="64"/>
      <c r="CK512" s="64"/>
      <c r="CL512" s="64"/>
      <c r="CM512" s="64"/>
      <c r="CN512" s="64"/>
      <c r="CO512" s="64"/>
      <c r="CP512" s="64"/>
      <c r="CQ512" s="64"/>
      <c r="CR512" s="64"/>
      <c r="CS512" s="64"/>
      <c r="CT512" s="64"/>
      <c r="CU512" s="64"/>
      <c r="CV512" s="64"/>
      <c r="CW512" s="64"/>
      <c r="CX512" s="64"/>
      <c r="CY512" s="1011"/>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c r="FC512" s="64"/>
      <c r="FD512" s="64"/>
      <c r="FE512" s="64"/>
      <c r="FF512" s="64"/>
      <c r="FG512" s="64"/>
      <c r="FH512" s="64"/>
      <c r="FI512" s="64"/>
      <c r="FJ512" s="64"/>
      <c r="FK512" s="64"/>
      <c r="FL512" s="64"/>
      <c r="FM512" s="64"/>
      <c r="FN512" s="64"/>
      <c r="FO512" s="64"/>
      <c r="FP512" s="64"/>
      <c r="FQ512" s="64"/>
      <c r="FR512" s="64"/>
      <c r="FS512" s="64"/>
      <c r="FT512" s="64"/>
      <c r="FU512" s="64"/>
      <c r="FV512" s="64"/>
      <c r="FW512" s="64"/>
      <c r="FX512" s="64"/>
      <c r="FY512" s="64"/>
      <c r="FZ512" s="64"/>
      <c r="GA512" s="64"/>
      <c r="GB512" s="64"/>
      <c r="GC512" s="64"/>
      <c r="GD512" s="64"/>
      <c r="GE512" s="64"/>
      <c r="GF512" s="64"/>
      <c r="GG512" s="64"/>
      <c r="GH512" s="64"/>
      <c r="GI512" s="64"/>
      <c r="GJ512" s="64"/>
      <c r="GK512" s="64"/>
      <c r="GL512" s="64"/>
      <c r="GM512" s="64"/>
      <c r="GN512" s="64"/>
      <c r="GO512" s="64"/>
      <c r="GP512" s="64"/>
      <c r="GQ512" s="64"/>
      <c r="GR512" s="64"/>
      <c r="GS512" s="64"/>
      <c r="GT512" s="64"/>
      <c r="GU512" s="64"/>
      <c r="GV512" s="64"/>
      <c r="GW512" s="64"/>
      <c r="GX512" s="64"/>
      <c r="GY512" s="64"/>
      <c r="GZ512" s="64"/>
      <c r="HA512" s="64"/>
      <c r="HB512" s="64"/>
      <c r="HC512" s="64"/>
      <c r="HD512" s="64"/>
      <c r="HE512" s="64"/>
      <c r="HF512" s="64"/>
      <c r="HG512" s="64"/>
      <c r="HH512" s="64"/>
      <c r="HI512" s="64"/>
      <c r="HJ512" s="64"/>
      <c r="HK512" s="64"/>
      <c r="HL512" s="64"/>
      <c r="HM512" s="64"/>
      <c r="HN512" s="64"/>
      <c r="HO512" s="64"/>
      <c r="HP512" s="64"/>
      <c r="HQ512" s="64"/>
      <c r="HR512" s="64"/>
      <c r="HS512" s="64"/>
      <c r="HT512" s="64"/>
      <c r="HU512" s="64"/>
      <c r="HV512" s="64"/>
      <c r="HW512" s="64"/>
      <c r="HX512" s="64"/>
      <c r="HY512" s="64"/>
      <c r="HZ512" s="64"/>
      <c r="IA512" s="64"/>
      <c r="IB512" s="64"/>
      <c r="IC512" s="64"/>
      <c r="ID512" s="64"/>
      <c r="IE512" s="64"/>
      <c r="IF512" s="64"/>
      <c r="IG512" s="64"/>
      <c r="IH512" s="64"/>
      <c r="II512" s="64"/>
      <c r="IJ512" s="64"/>
      <c r="IK512" s="64"/>
      <c r="IL512" s="64"/>
      <c r="IM512" s="64"/>
      <c r="IN512" s="64"/>
      <c r="IO512" s="64"/>
      <c r="IP512" s="64"/>
      <c r="IQ512" s="64"/>
      <c r="IR512" s="64"/>
      <c r="IS512" s="64"/>
      <c r="IT512" s="64"/>
      <c r="IU512" s="64"/>
      <c r="IV512" s="64"/>
      <c r="IW512" s="64"/>
      <c r="IX512" s="64"/>
      <c r="IY512" s="64"/>
      <c r="IZ512" s="64"/>
      <c r="JA512" s="64"/>
      <c r="JB512" s="64"/>
      <c r="JC512" s="64"/>
      <c r="JD512" s="64"/>
      <c r="JE512" s="64"/>
      <c r="JF512" s="64"/>
      <c r="JG512" s="64"/>
      <c r="JH512" s="64"/>
      <c r="JI512" s="64"/>
    </row>
    <row r="513" spans="1:269" s="920" customFormat="1" x14ac:dyDescent="0.2">
      <c r="A513" s="116"/>
      <c r="B513" s="64"/>
      <c r="C513" s="64"/>
      <c r="D513" s="64"/>
      <c r="E513" s="64"/>
      <c r="F513" s="64"/>
      <c r="G513" s="64"/>
      <c r="H513" s="64"/>
      <c r="I513" s="64"/>
      <c r="J513" s="116"/>
      <c r="K513" s="116"/>
      <c r="L513" s="116"/>
      <c r="M513" s="116"/>
      <c r="N513" s="116"/>
      <c r="O513" s="116"/>
      <c r="P513" s="116"/>
      <c r="Q513" s="102"/>
      <c r="R513" s="102"/>
      <c r="S513" s="102"/>
      <c r="T513" s="102"/>
      <c r="U513" s="913"/>
      <c r="V513" s="114"/>
      <c r="W513" s="805"/>
      <c r="X513" s="805"/>
      <c r="Y513" s="805"/>
      <c r="Z513" s="914"/>
      <c r="AA513" s="102"/>
      <c r="AB513" s="102"/>
      <c r="AC513" s="102"/>
      <c r="AD513" s="102"/>
      <c r="AE513" s="102"/>
      <c r="AF513" s="102"/>
      <c r="AG513" s="102"/>
      <c r="AH513" s="102"/>
      <c r="AI513" s="102"/>
      <c r="AJ513" s="906"/>
      <c r="AK513" s="102"/>
      <c r="AL513" s="915"/>
      <c r="AM513" s="915"/>
      <c r="AN513" s="114"/>
      <c r="AO513" s="64"/>
      <c r="AP513" s="64"/>
      <c r="AQ513" s="64"/>
      <c r="AR513" s="916"/>
      <c r="AS513" s="916"/>
      <c r="AT513" s="916"/>
      <c r="AU513" s="917"/>
      <c r="AV513" s="917"/>
      <c r="AW513" s="917"/>
      <c r="AX513" s="918"/>
      <c r="AY513" s="916"/>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917"/>
      <c r="CA513" s="917"/>
      <c r="CB513" s="64"/>
      <c r="CC513" s="919"/>
      <c r="CD513" s="919"/>
      <c r="CE513" s="64"/>
      <c r="CF513" s="528"/>
      <c r="CG513" s="529"/>
      <c r="CH513" s="64"/>
      <c r="CI513" s="64"/>
      <c r="CJ513" s="64"/>
      <c r="CK513" s="64"/>
      <c r="CL513" s="64"/>
      <c r="CM513" s="64"/>
      <c r="CN513" s="64"/>
      <c r="CO513" s="64"/>
      <c r="CP513" s="64"/>
      <c r="CQ513" s="64"/>
      <c r="CR513" s="64"/>
      <c r="CS513" s="64"/>
      <c r="CT513" s="64"/>
      <c r="CU513" s="64"/>
      <c r="CV513" s="64"/>
      <c r="CW513" s="64"/>
      <c r="CX513" s="64"/>
      <c r="CY513" s="1011"/>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c r="FC513" s="64"/>
      <c r="FD513" s="64"/>
      <c r="FE513" s="64"/>
      <c r="FF513" s="64"/>
      <c r="FG513" s="64"/>
      <c r="FH513" s="64"/>
      <c r="FI513" s="64"/>
      <c r="FJ513" s="64"/>
      <c r="FK513" s="64"/>
      <c r="FL513" s="64"/>
      <c r="FM513" s="64"/>
      <c r="FN513" s="64"/>
      <c r="FO513" s="64"/>
      <c r="FP513" s="64"/>
      <c r="FQ513" s="64"/>
      <c r="FR513" s="64"/>
      <c r="FS513" s="64"/>
      <c r="FT513" s="64"/>
      <c r="FU513" s="64"/>
      <c r="FV513" s="64"/>
      <c r="FW513" s="64"/>
      <c r="FX513" s="64"/>
      <c r="FY513" s="64"/>
      <c r="FZ513" s="64"/>
      <c r="GA513" s="64"/>
      <c r="GB513" s="64"/>
      <c r="GC513" s="64"/>
      <c r="GD513" s="64"/>
      <c r="GE513" s="64"/>
      <c r="GF513" s="64"/>
      <c r="GG513" s="64"/>
      <c r="GH513" s="64"/>
      <c r="GI513" s="64"/>
      <c r="GJ513" s="64"/>
      <c r="GK513" s="64"/>
      <c r="GL513" s="64"/>
      <c r="GM513" s="64"/>
      <c r="GN513" s="64"/>
      <c r="GO513" s="64"/>
      <c r="GP513" s="64"/>
      <c r="GQ513" s="64"/>
      <c r="GR513" s="64"/>
      <c r="GS513" s="64"/>
      <c r="GT513" s="64"/>
      <c r="GU513" s="64"/>
      <c r="GV513" s="64"/>
      <c r="GW513" s="64"/>
      <c r="GX513" s="64"/>
      <c r="GY513" s="64"/>
      <c r="GZ513" s="64"/>
      <c r="HA513" s="64"/>
      <c r="HB513" s="64"/>
      <c r="HC513" s="64"/>
      <c r="HD513" s="64"/>
      <c r="HE513" s="64"/>
      <c r="HF513" s="64"/>
      <c r="HG513" s="64"/>
      <c r="HH513" s="64"/>
      <c r="HI513" s="64"/>
      <c r="HJ513" s="64"/>
      <c r="HK513" s="64"/>
      <c r="HL513" s="64"/>
      <c r="HM513" s="64"/>
      <c r="HN513" s="64"/>
      <c r="HO513" s="64"/>
      <c r="HP513" s="64"/>
      <c r="HQ513" s="64"/>
      <c r="HR513" s="64"/>
      <c r="HS513" s="64"/>
      <c r="HT513" s="64"/>
      <c r="HU513" s="64"/>
      <c r="HV513" s="64"/>
      <c r="HW513" s="64"/>
      <c r="HX513" s="64"/>
      <c r="HY513" s="64"/>
      <c r="HZ513" s="64"/>
      <c r="IA513" s="64"/>
      <c r="IB513" s="64"/>
      <c r="IC513" s="64"/>
      <c r="ID513" s="64"/>
      <c r="IE513" s="64"/>
      <c r="IF513" s="64"/>
      <c r="IG513" s="64"/>
      <c r="IH513" s="64"/>
      <c r="II513" s="64"/>
      <c r="IJ513" s="64"/>
      <c r="IK513" s="64"/>
      <c r="IL513" s="64"/>
      <c r="IM513" s="64"/>
      <c r="IN513" s="64"/>
      <c r="IO513" s="64"/>
      <c r="IP513" s="64"/>
      <c r="IQ513" s="64"/>
      <c r="IR513" s="64"/>
      <c r="IS513" s="64"/>
      <c r="IT513" s="64"/>
      <c r="IU513" s="64"/>
      <c r="IV513" s="64"/>
      <c r="IW513" s="64"/>
      <c r="IX513" s="64"/>
      <c r="IY513" s="64"/>
      <c r="IZ513" s="64"/>
      <c r="JA513" s="64"/>
      <c r="JB513" s="64"/>
      <c r="JC513" s="64"/>
      <c r="JD513" s="64"/>
      <c r="JE513" s="64"/>
      <c r="JF513" s="64"/>
      <c r="JG513" s="64"/>
      <c r="JH513" s="64"/>
      <c r="JI513" s="64"/>
    </row>
    <row r="514" spans="1:269" s="920" customFormat="1" x14ac:dyDescent="0.2">
      <c r="A514" s="116"/>
      <c r="B514" s="64"/>
      <c r="C514" s="64"/>
      <c r="D514" s="64"/>
      <c r="E514" s="64"/>
      <c r="F514" s="64"/>
      <c r="G514" s="64"/>
      <c r="H514" s="64"/>
      <c r="I514" s="64"/>
      <c r="J514" s="116"/>
      <c r="K514" s="116"/>
      <c r="L514" s="116"/>
      <c r="M514" s="116"/>
      <c r="N514" s="116"/>
      <c r="O514" s="116"/>
      <c r="P514" s="116"/>
      <c r="Q514" s="102"/>
      <c r="R514" s="102"/>
      <c r="S514" s="102"/>
      <c r="T514" s="102"/>
      <c r="U514" s="913"/>
      <c r="V514" s="114"/>
      <c r="W514" s="805"/>
      <c r="X514" s="805"/>
      <c r="Y514" s="805"/>
      <c r="Z514" s="914"/>
      <c r="AA514" s="102"/>
      <c r="AB514" s="102"/>
      <c r="AC514" s="102"/>
      <c r="AD514" s="102"/>
      <c r="AE514" s="102"/>
      <c r="AF514" s="102"/>
      <c r="AG514" s="102"/>
      <c r="AH514" s="102"/>
      <c r="AI514" s="102"/>
      <c r="AJ514" s="906"/>
      <c r="AK514" s="102"/>
      <c r="AL514" s="915"/>
      <c r="AM514" s="915"/>
      <c r="AN514" s="114"/>
      <c r="AO514" s="64"/>
      <c r="AP514" s="64"/>
      <c r="AQ514" s="64"/>
      <c r="AR514" s="916"/>
      <c r="AS514" s="916"/>
      <c r="AT514" s="916"/>
      <c r="AU514" s="917"/>
      <c r="AV514" s="917"/>
      <c r="AW514" s="917"/>
      <c r="AX514" s="918"/>
      <c r="AY514" s="916"/>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917"/>
      <c r="CA514" s="917"/>
      <c r="CB514" s="64"/>
      <c r="CC514" s="919"/>
      <c r="CD514" s="919"/>
      <c r="CE514" s="64"/>
      <c r="CF514" s="528"/>
      <c r="CG514" s="529"/>
      <c r="CH514" s="64"/>
      <c r="CI514" s="64"/>
      <c r="CJ514" s="64"/>
      <c r="CK514" s="64"/>
      <c r="CL514" s="64"/>
      <c r="CM514" s="64"/>
      <c r="CN514" s="64"/>
      <c r="CO514" s="64"/>
      <c r="CP514" s="64"/>
      <c r="CQ514" s="64"/>
      <c r="CR514" s="64"/>
      <c r="CS514" s="64"/>
      <c r="CT514" s="64"/>
      <c r="CU514" s="64"/>
      <c r="CV514" s="64"/>
      <c r="CW514" s="64"/>
      <c r="CX514" s="64"/>
      <c r="CY514" s="1011"/>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c r="FC514" s="64"/>
      <c r="FD514" s="64"/>
      <c r="FE514" s="64"/>
      <c r="FF514" s="64"/>
      <c r="FG514" s="64"/>
      <c r="FH514" s="64"/>
      <c r="FI514" s="64"/>
      <c r="FJ514" s="64"/>
      <c r="FK514" s="64"/>
      <c r="FL514" s="64"/>
      <c r="FM514" s="64"/>
      <c r="FN514" s="64"/>
      <c r="FO514" s="64"/>
      <c r="FP514" s="64"/>
      <c r="FQ514" s="64"/>
      <c r="FR514" s="64"/>
      <c r="FS514" s="64"/>
      <c r="FT514" s="64"/>
      <c r="FU514" s="64"/>
      <c r="FV514" s="64"/>
      <c r="FW514" s="64"/>
      <c r="FX514" s="64"/>
      <c r="FY514" s="64"/>
      <c r="FZ514" s="64"/>
      <c r="GA514" s="64"/>
      <c r="GB514" s="64"/>
      <c r="GC514" s="64"/>
      <c r="GD514" s="64"/>
      <c r="GE514" s="64"/>
      <c r="GF514" s="64"/>
      <c r="GG514" s="64"/>
      <c r="GH514" s="64"/>
      <c r="GI514" s="64"/>
      <c r="GJ514" s="64"/>
      <c r="GK514" s="64"/>
      <c r="GL514" s="64"/>
      <c r="GM514" s="64"/>
      <c r="GN514" s="64"/>
      <c r="GO514" s="64"/>
      <c r="GP514" s="64"/>
      <c r="GQ514" s="64"/>
      <c r="GR514" s="64"/>
      <c r="GS514" s="64"/>
      <c r="GT514" s="64"/>
      <c r="GU514" s="64"/>
      <c r="GV514" s="64"/>
      <c r="GW514" s="64"/>
      <c r="GX514" s="64"/>
      <c r="GY514" s="64"/>
      <c r="GZ514" s="64"/>
      <c r="HA514" s="64"/>
      <c r="HB514" s="64"/>
      <c r="HC514" s="64"/>
      <c r="HD514" s="64"/>
      <c r="HE514" s="64"/>
      <c r="HF514" s="64"/>
      <c r="HG514" s="64"/>
      <c r="HH514" s="64"/>
      <c r="HI514" s="64"/>
      <c r="HJ514" s="64"/>
      <c r="HK514" s="64"/>
      <c r="HL514" s="64"/>
      <c r="HM514" s="64"/>
      <c r="HN514" s="64"/>
      <c r="HO514" s="64"/>
      <c r="HP514" s="64"/>
      <c r="HQ514" s="64"/>
      <c r="HR514" s="64"/>
      <c r="HS514" s="64"/>
      <c r="HT514" s="64"/>
      <c r="HU514" s="64"/>
      <c r="HV514" s="64"/>
      <c r="HW514" s="64"/>
      <c r="HX514" s="64"/>
      <c r="HY514" s="64"/>
      <c r="HZ514" s="64"/>
      <c r="IA514" s="64"/>
      <c r="IB514" s="64"/>
      <c r="IC514" s="64"/>
      <c r="ID514" s="64"/>
      <c r="IE514" s="64"/>
      <c r="IF514" s="64"/>
      <c r="IG514" s="64"/>
      <c r="IH514" s="64"/>
      <c r="II514" s="64"/>
      <c r="IJ514" s="64"/>
      <c r="IK514" s="64"/>
      <c r="IL514" s="64"/>
      <c r="IM514" s="64"/>
      <c r="IN514" s="64"/>
      <c r="IO514" s="64"/>
      <c r="IP514" s="64"/>
      <c r="IQ514" s="64"/>
      <c r="IR514" s="64"/>
      <c r="IS514" s="64"/>
      <c r="IT514" s="64"/>
      <c r="IU514" s="64"/>
      <c r="IV514" s="64"/>
      <c r="IW514" s="64"/>
      <c r="IX514" s="64"/>
      <c r="IY514" s="64"/>
      <c r="IZ514" s="64"/>
      <c r="JA514" s="64"/>
      <c r="JB514" s="64"/>
      <c r="JC514" s="64"/>
      <c r="JD514" s="64"/>
      <c r="JE514" s="64"/>
      <c r="JF514" s="64"/>
      <c r="JG514" s="64"/>
      <c r="JH514" s="64"/>
      <c r="JI514" s="64"/>
    </row>
    <row r="515" spans="1:269" s="920" customFormat="1" x14ac:dyDescent="0.2">
      <c r="A515" s="116"/>
      <c r="B515" s="64"/>
      <c r="C515" s="64"/>
      <c r="D515" s="64"/>
      <c r="E515" s="64"/>
      <c r="F515" s="64"/>
      <c r="G515" s="64"/>
      <c r="H515" s="64"/>
      <c r="I515" s="64"/>
      <c r="J515" s="116"/>
      <c r="K515" s="116"/>
      <c r="L515" s="116"/>
      <c r="M515" s="116"/>
      <c r="N515" s="116"/>
      <c r="O515" s="116"/>
      <c r="P515" s="116"/>
      <c r="Q515" s="102"/>
      <c r="R515" s="102"/>
      <c r="S515" s="102"/>
      <c r="T515" s="102"/>
      <c r="U515" s="913"/>
      <c r="V515" s="114"/>
      <c r="W515" s="805"/>
      <c r="X515" s="805"/>
      <c r="Y515" s="805"/>
      <c r="Z515" s="914"/>
      <c r="AA515" s="102"/>
      <c r="AB515" s="102"/>
      <c r="AC515" s="102"/>
      <c r="AD515" s="102"/>
      <c r="AE515" s="102"/>
      <c r="AF515" s="102"/>
      <c r="AG515" s="102"/>
      <c r="AH515" s="102"/>
      <c r="AI515" s="102"/>
      <c r="AJ515" s="906"/>
      <c r="AK515" s="102"/>
      <c r="AL515" s="915"/>
      <c r="AM515" s="915"/>
      <c r="AN515" s="114"/>
      <c r="AO515" s="64"/>
      <c r="AP515" s="64"/>
      <c r="AQ515" s="64"/>
      <c r="AR515" s="916"/>
      <c r="AS515" s="916"/>
      <c r="AT515" s="916"/>
      <c r="AU515" s="917"/>
      <c r="AV515" s="917"/>
      <c r="AW515" s="917"/>
      <c r="AX515" s="918"/>
      <c r="AY515" s="916"/>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917"/>
      <c r="CA515" s="917"/>
      <c r="CB515" s="64"/>
      <c r="CC515" s="919"/>
      <c r="CD515" s="919"/>
      <c r="CE515" s="64"/>
      <c r="CF515" s="528"/>
      <c r="CG515" s="529"/>
      <c r="CH515" s="64"/>
      <c r="CI515" s="64"/>
      <c r="CJ515" s="64"/>
      <c r="CK515" s="64"/>
      <c r="CL515" s="64"/>
      <c r="CM515" s="64"/>
      <c r="CN515" s="64"/>
      <c r="CO515" s="64"/>
      <c r="CP515" s="64"/>
      <c r="CQ515" s="64"/>
      <c r="CR515" s="64"/>
      <c r="CS515" s="64"/>
      <c r="CT515" s="64"/>
      <c r="CU515" s="64"/>
      <c r="CV515" s="64"/>
      <c r="CW515" s="64"/>
      <c r="CX515" s="64"/>
      <c r="CY515" s="1011"/>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c r="FC515" s="64"/>
      <c r="FD515" s="64"/>
      <c r="FE515" s="64"/>
      <c r="FF515" s="64"/>
      <c r="FG515" s="64"/>
      <c r="FH515" s="64"/>
      <c r="FI515" s="64"/>
      <c r="FJ515" s="64"/>
      <c r="FK515" s="64"/>
      <c r="FL515" s="64"/>
      <c r="FM515" s="64"/>
      <c r="FN515" s="64"/>
      <c r="FO515" s="64"/>
      <c r="FP515" s="64"/>
      <c r="FQ515" s="64"/>
      <c r="FR515" s="64"/>
      <c r="FS515" s="64"/>
      <c r="FT515" s="64"/>
      <c r="FU515" s="64"/>
      <c r="FV515" s="64"/>
      <c r="FW515" s="64"/>
      <c r="FX515" s="64"/>
      <c r="FY515" s="64"/>
      <c r="FZ515" s="64"/>
      <c r="GA515" s="64"/>
      <c r="GB515" s="64"/>
      <c r="GC515" s="64"/>
      <c r="GD515" s="64"/>
      <c r="GE515" s="64"/>
      <c r="GF515" s="64"/>
      <c r="GG515" s="64"/>
      <c r="GH515" s="64"/>
      <c r="GI515" s="64"/>
      <c r="GJ515" s="64"/>
      <c r="GK515" s="64"/>
      <c r="GL515" s="64"/>
      <c r="GM515" s="64"/>
      <c r="GN515" s="64"/>
      <c r="GO515" s="64"/>
      <c r="GP515" s="64"/>
      <c r="GQ515" s="64"/>
      <c r="GR515" s="64"/>
      <c r="GS515" s="64"/>
      <c r="GT515" s="64"/>
      <c r="GU515" s="64"/>
      <c r="GV515" s="64"/>
      <c r="GW515" s="64"/>
      <c r="GX515" s="64"/>
      <c r="GY515" s="64"/>
      <c r="GZ515" s="64"/>
      <c r="HA515" s="64"/>
      <c r="HB515" s="64"/>
      <c r="HC515" s="64"/>
      <c r="HD515" s="64"/>
      <c r="HE515" s="64"/>
      <c r="HF515" s="64"/>
      <c r="HG515" s="64"/>
      <c r="HH515" s="64"/>
      <c r="HI515" s="64"/>
      <c r="HJ515" s="64"/>
      <c r="HK515" s="64"/>
      <c r="HL515" s="64"/>
      <c r="HM515" s="64"/>
      <c r="HN515" s="64"/>
      <c r="HO515" s="64"/>
      <c r="HP515" s="64"/>
      <c r="HQ515" s="64"/>
      <c r="HR515" s="64"/>
      <c r="HS515" s="64"/>
      <c r="HT515" s="64"/>
      <c r="HU515" s="64"/>
      <c r="HV515" s="64"/>
      <c r="HW515" s="64"/>
      <c r="HX515" s="64"/>
      <c r="HY515" s="64"/>
      <c r="HZ515" s="64"/>
      <c r="IA515" s="64"/>
      <c r="IB515" s="64"/>
      <c r="IC515" s="64"/>
      <c r="ID515" s="64"/>
      <c r="IE515" s="64"/>
      <c r="IF515" s="64"/>
      <c r="IG515" s="64"/>
      <c r="IH515" s="64"/>
      <c r="II515" s="64"/>
      <c r="IJ515" s="64"/>
      <c r="IK515" s="64"/>
      <c r="IL515" s="64"/>
      <c r="IM515" s="64"/>
      <c r="IN515" s="64"/>
      <c r="IO515" s="64"/>
      <c r="IP515" s="64"/>
      <c r="IQ515" s="64"/>
      <c r="IR515" s="64"/>
      <c r="IS515" s="64"/>
      <c r="IT515" s="64"/>
      <c r="IU515" s="64"/>
      <c r="IV515" s="64"/>
      <c r="IW515" s="64"/>
      <c r="IX515" s="64"/>
      <c r="IY515" s="64"/>
      <c r="IZ515" s="64"/>
      <c r="JA515" s="64"/>
      <c r="JB515" s="64"/>
      <c r="JC515" s="64"/>
      <c r="JD515" s="64"/>
      <c r="JE515" s="64"/>
      <c r="JF515" s="64"/>
      <c r="JG515" s="64"/>
      <c r="JH515" s="64"/>
      <c r="JI515" s="64"/>
    </row>
    <row r="516" spans="1:269" s="920" customFormat="1" x14ac:dyDescent="0.2">
      <c r="A516" s="116"/>
      <c r="B516" s="64"/>
      <c r="C516" s="64"/>
      <c r="D516" s="64"/>
      <c r="E516" s="64"/>
      <c r="F516" s="64"/>
      <c r="G516" s="64"/>
      <c r="H516" s="64"/>
      <c r="I516" s="64"/>
      <c r="J516" s="116"/>
      <c r="K516" s="116"/>
      <c r="L516" s="116"/>
      <c r="M516" s="116"/>
      <c r="N516" s="116"/>
      <c r="O516" s="116"/>
      <c r="P516" s="116"/>
      <c r="Q516" s="102"/>
      <c r="R516" s="102"/>
      <c r="S516" s="102"/>
      <c r="T516" s="102"/>
      <c r="U516" s="913"/>
      <c r="V516" s="114"/>
      <c r="W516" s="805"/>
      <c r="X516" s="805"/>
      <c r="Y516" s="805"/>
      <c r="Z516" s="914"/>
      <c r="AA516" s="102"/>
      <c r="AB516" s="102"/>
      <c r="AC516" s="102"/>
      <c r="AD516" s="102"/>
      <c r="AE516" s="102"/>
      <c r="AF516" s="102"/>
      <c r="AG516" s="102"/>
      <c r="AH516" s="102"/>
      <c r="AI516" s="102"/>
      <c r="AJ516" s="906"/>
      <c r="AK516" s="102"/>
      <c r="AL516" s="915"/>
      <c r="AM516" s="915"/>
      <c r="AN516" s="114"/>
      <c r="AO516" s="64"/>
      <c r="AP516" s="64"/>
      <c r="AQ516" s="64"/>
      <c r="AR516" s="916"/>
      <c r="AS516" s="916"/>
      <c r="AT516" s="916"/>
      <c r="AU516" s="917"/>
      <c r="AV516" s="917"/>
      <c r="AW516" s="917"/>
      <c r="AX516" s="918"/>
      <c r="AY516" s="916"/>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917"/>
      <c r="CA516" s="917"/>
      <c r="CB516" s="64"/>
      <c r="CC516" s="919"/>
      <c r="CD516" s="919"/>
      <c r="CE516" s="64"/>
      <c r="CF516" s="528"/>
      <c r="CG516" s="529"/>
      <c r="CH516" s="64"/>
      <c r="CI516" s="64"/>
      <c r="CJ516" s="64"/>
      <c r="CK516" s="64"/>
      <c r="CL516" s="64"/>
      <c r="CM516" s="64"/>
      <c r="CN516" s="64"/>
      <c r="CO516" s="64"/>
      <c r="CP516" s="64"/>
      <c r="CQ516" s="64"/>
      <c r="CR516" s="64"/>
      <c r="CS516" s="64"/>
      <c r="CT516" s="64"/>
      <c r="CU516" s="64"/>
      <c r="CV516" s="64"/>
      <c r="CW516" s="64"/>
      <c r="CX516" s="64"/>
      <c r="CY516" s="1011"/>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c r="FC516" s="64"/>
      <c r="FD516" s="64"/>
      <c r="FE516" s="64"/>
      <c r="FF516" s="64"/>
      <c r="FG516" s="64"/>
      <c r="FH516" s="64"/>
      <c r="FI516" s="64"/>
      <c r="FJ516" s="64"/>
      <c r="FK516" s="64"/>
      <c r="FL516" s="64"/>
      <c r="FM516" s="64"/>
      <c r="FN516" s="64"/>
      <c r="FO516" s="64"/>
      <c r="FP516" s="64"/>
      <c r="FQ516" s="64"/>
      <c r="FR516" s="64"/>
      <c r="FS516" s="64"/>
      <c r="FT516" s="64"/>
      <c r="FU516" s="64"/>
      <c r="FV516" s="64"/>
      <c r="FW516" s="64"/>
      <c r="FX516" s="64"/>
      <c r="FY516" s="64"/>
      <c r="FZ516" s="64"/>
      <c r="GA516" s="64"/>
      <c r="GB516" s="64"/>
      <c r="GC516" s="64"/>
      <c r="GD516" s="64"/>
      <c r="GE516" s="64"/>
      <c r="GF516" s="64"/>
      <c r="GG516" s="64"/>
      <c r="GH516" s="64"/>
      <c r="GI516" s="64"/>
      <c r="GJ516" s="64"/>
      <c r="GK516" s="64"/>
      <c r="GL516" s="64"/>
      <c r="GM516" s="64"/>
      <c r="GN516" s="64"/>
      <c r="GO516" s="64"/>
      <c r="GP516" s="64"/>
      <c r="GQ516" s="64"/>
      <c r="GR516" s="64"/>
      <c r="GS516" s="64"/>
      <c r="GT516" s="64"/>
      <c r="GU516" s="64"/>
      <c r="GV516" s="64"/>
      <c r="GW516" s="64"/>
      <c r="GX516" s="64"/>
      <c r="GY516" s="64"/>
      <c r="GZ516" s="64"/>
      <c r="HA516" s="64"/>
      <c r="HB516" s="64"/>
      <c r="HC516" s="64"/>
      <c r="HD516" s="64"/>
      <c r="HE516" s="64"/>
      <c r="HF516" s="64"/>
      <c r="HG516" s="64"/>
      <c r="HH516" s="64"/>
      <c r="HI516" s="64"/>
      <c r="HJ516" s="64"/>
      <c r="HK516" s="64"/>
      <c r="HL516" s="64"/>
      <c r="HM516" s="64"/>
      <c r="HN516" s="64"/>
      <c r="HO516" s="64"/>
      <c r="HP516" s="64"/>
      <c r="HQ516" s="64"/>
      <c r="HR516" s="64"/>
      <c r="HS516" s="64"/>
      <c r="HT516" s="64"/>
      <c r="HU516" s="64"/>
      <c r="HV516" s="64"/>
      <c r="HW516" s="64"/>
      <c r="HX516" s="64"/>
      <c r="HY516" s="64"/>
      <c r="HZ516" s="64"/>
      <c r="IA516" s="64"/>
      <c r="IB516" s="64"/>
      <c r="IC516" s="64"/>
      <c r="ID516" s="64"/>
      <c r="IE516" s="64"/>
      <c r="IF516" s="64"/>
      <c r="IG516" s="64"/>
      <c r="IH516" s="64"/>
      <c r="II516" s="64"/>
      <c r="IJ516" s="64"/>
      <c r="IK516" s="64"/>
      <c r="IL516" s="64"/>
      <c r="IM516" s="64"/>
      <c r="IN516" s="64"/>
      <c r="IO516" s="64"/>
      <c r="IP516" s="64"/>
      <c r="IQ516" s="64"/>
      <c r="IR516" s="64"/>
      <c r="IS516" s="64"/>
      <c r="IT516" s="64"/>
      <c r="IU516" s="64"/>
      <c r="IV516" s="64"/>
      <c r="IW516" s="64"/>
      <c r="IX516" s="64"/>
      <c r="IY516" s="64"/>
      <c r="IZ516" s="64"/>
      <c r="JA516" s="64"/>
      <c r="JB516" s="64"/>
      <c r="JC516" s="64"/>
      <c r="JD516" s="64"/>
      <c r="JE516" s="64"/>
      <c r="JF516" s="64"/>
      <c r="JG516" s="64"/>
      <c r="JH516" s="64"/>
      <c r="JI516" s="64"/>
    </row>
    <row r="517" spans="1:269" s="920" customFormat="1" x14ac:dyDescent="0.2">
      <c r="A517" s="116"/>
      <c r="B517" s="64"/>
      <c r="C517" s="64"/>
      <c r="D517" s="64"/>
      <c r="E517" s="64"/>
      <c r="F517" s="64"/>
      <c r="G517" s="64"/>
      <c r="H517" s="64"/>
      <c r="I517" s="64"/>
      <c r="J517" s="116"/>
      <c r="K517" s="116"/>
      <c r="L517" s="116"/>
      <c r="M517" s="116"/>
      <c r="N517" s="116"/>
      <c r="O517" s="116"/>
      <c r="P517" s="116"/>
      <c r="Q517" s="102"/>
      <c r="R517" s="102"/>
      <c r="S517" s="102"/>
      <c r="T517" s="102"/>
      <c r="U517" s="913"/>
      <c r="V517" s="114"/>
      <c r="W517" s="805"/>
      <c r="X517" s="805"/>
      <c r="Y517" s="805"/>
      <c r="Z517" s="914"/>
      <c r="AA517" s="102"/>
      <c r="AB517" s="102"/>
      <c r="AC517" s="102"/>
      <c r="AD517" s="102"/>
      <c r="AE517" s="102"/>
      <c r="AF517" s="102"/>
      <c r="AG517" s="102"/>
      <c r="AH517" s="102"/>
      <c r="AI517" s="102"/>
      <c r="AJ517" s="906"/>
      <c r="AK517" s="102"/>
      <c r="AL517" s="915"/>
      <c r="AM517" s="915"/>
      <c r="AN517" s="114"/>
      <c r="AO517" s="64"/>
      <c r="AP517" s="64"/>
      <c r="AQ517" s="64"/>
      <c r="AR517" s="916"/>
      <c r="AS517" s="916"/>
      <c r="AT517" s="916"/>
      <c r="AU517" s="917"/>
      <c r="AV517" s="917"/>
      <c r="AW517" s="917"/>
      <c r="AX517" s="918"/>
      <c r="AY517" s="916"/>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917"/>
      <c r="CA517" s="917"/>
      <c r="CB517" s="64"/>
      <c r="CC517" s="919"/>
      <c r="CD517" s="919"/>
      <c r="CE517" s="64"/>
      <c r="CF517" s="528"/>
      <c r="CG517" s="529"/>
      <c r="CH517" s="64"/>
      <c r="CI517" s="64"/>
      <c r="CJ517" s="64"/>
      <c r="CK517" s="64"/>
      <c r="CL517" s="64"/>
      <c r="CM517" s="64"/>
      <c r="CN517" s="64"/>
      <c r="CO517" s="64"/>
      <c r="CP517" s="64"/>
      <c r="CQ517" s="64"/>
      <c r="CR517" s="64"/>
      <c r="CS517" s="64"/>
      <c r="CT517" s="64"/>
      <c r="CU517" s="64"/>
      <c r="CV517" s="64"/>
      <c r="CW517" s="64"/>
      <c r="CX517" s="64"/>
      <c r="CY517" s="1011"/>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c r="FC517" s="64"/>
      <c r="FD517" s="64"/>
      <c r="FE517" s="64"/>
      <c r="FF517" s="64"/>
      <c r="FG517" s="64"/>
      <c r="FH517" s="64"/>
      <c r="FI517" s="64"/>
      <c r="FJ517" s="64"/>
      <c r="FK517" s="64"/>
      <c r="FL517" s="64"/>
      <c r="FM517" s="64"/>
      <c r="FN517" s="64"/>
      <c r="FO517" s="64"/>
      <c r="FP517" s="64"/>
      <c r="FQ517" s="64"/>
      <c r="FR517" s="64"/>
      <c r="FS517" s="64"/>
      <c r="FT517" s="64"/>
      <c r="FU517" s="64"/>
      <c r="FV517" s="64"/>
      <c r="FW517" s="64"/>
      <c r="FX517" s="64"/>
      <c r="FY517" s="64"/>
      <c r="FZ517" s="64"/>
      <c r="GA517" s="64"/>
      <c r="GB517" s="64"/>
      <c r="GC517" s="64"/>
      <c r="GD517" s="64"/>
      <c r="GE517" s="64"/>
      <c r="GF517" s="64"/>
      <c r="GG517" s="64"/>
      <c r="GH517" s="64"/>
      <c r="GI517" s="64"/>
      <c r="GJ517" s="64"/>
      <c r="GK517" s="64"/>
      <c r="GL517" s="64"/>
      <c r="GM517" s="64"/>
      <c r="GN517" s="64"/>
      <c r="GO517" s="64"/>
      <c r="GP517" s="64"/>
      <c r="GQ517" s="64"/>
      <c r="GR517" s="64"/>
      <c r="GS517" s="64"/>
      <c r="GT517" s="64"/>
      <c r="GU517" s="64"/>
      <c r="GV517" s="64"/>
      <c r="GW517" s="64"/>
      <c r="GX517" s="64"/>
      <c r="GY517" s="64"/>
      <c r="GZ517" s="64"/>
      <c r="HA517" s="64"/>
      <c r="HB517" s="64"/>
      <c r="HC517" s="64"/>
      <c r="HD517" s="64"/>
      <c r="HE517" s="64"/>
      <c r="HF517" s="64"/>
      <c r="HG517" s="64"/>
      <c r="HH517" s="64"/>
      <c r="HI517" s="64"/>
      <c r="HJ517" s="64"/>
      <c r="HK517" s="64"/>
      <c r="HL517" s="64"/>
      <c r="HM517" s="64"/>
      <c r="HN517" s="64"/>
      <c r="HO517" s="64"/>
      <c r="HP517" s="64"/>
      <c r="HQ517" s="64"/>
      <c r="HR517" s="64"/>
      <c r="HS517" s="64"/>
      <c r="HT517" s="64"/>
      <c r="HU517" s="64"/>
      <c r="HV517" s="64"/>
      <c r="HW517" s="64"/>
      <c r="HX517" s="64"/>
      <c r="HY517" s="64"/>
      <c r="HZ517" s="64"/>
      <c r="IA517" s="64"/>
      <c r="IB517" s="64"/>
      <c r="IC517" s="64"/>
      <c r="ID517" s="64"/>
      <c r="IE517" s="64"/>
      <c r="IF517" s="64"/>
      <c r="IG517" s="64"/>
      <c r="IH517" s="64"/>
      <c r="II517" s="64"/>
      <c r="IJ517" s="64"/>
      <c r="IK517" s="64"/>
      <c r="IL517" s="64"/>
      <c r="IM517" s="64"/>
      <c r="IN517" s="64"/>
      <c r="IO517" s="64"/>
      <c r="IP517" s="64"/>
      <c r="IQ517" s="64"/>
      <c r="IR517" s="64"/>
      <c r="IS517" s="64"/>
      <c r="IT517" s="64"/>
      <c r="IU517" s="64"/>
      <c r="IV517" s="64"/>
      <c r="IW517" s="64"/>
      <c r="IX517" s="64"/>
      <c r="IY517" s="64"/>
      <c r="IZ517" s="64"/>
      <c r="JA517" s="64"/>
      <c r="JB517" s="64"/>
      <c r="JC517" s="64"/>
      <c r="JD517" s="64"/>
      <c r="JE517" s="64"/>
      <c r="JF517" s="64"/>
      <c r="JG517" s="64"/>
      <c r="JH517" s="64"/>
      <c r="JI517" s="64"/>
    </row>
    <row r="518" spans="1:269" s="920" customFormat="1" x14ac:dyDescent="0.2">
      <c r="A518" s="116"/>
      <c r="B518" s="64"/>
      <c r="C518" s="64"/>
      <c r="D518" s="64"/>
      <c r="E518" s="64"/>
      <c r="F518" s="64"/>
      <c r="G518" s="64"/>
      <c r="H518" s="64"/>
      <c r="I518" s="64"/>
      <c r="J518" s="116"/>
      <c r="K518" s="116"/>
      <c r="L518" s="116"/>
      <c r="M518" s="116"/>
      <c r="N518" s="116"/>
      <c r="O518" s="116"/>
      <c r="P518" s="116"/>
      <c r="Q518" s="102"/>
      <c r="R518" s="102"/>
      <c r="S518" s="102"/>
      <c r="T518" s="102"/>
      <c r="U518" s="913"/>
      <c r="V518" s="114"/>
      <c r="W518" s="805"/>
      <c r="X518" s="805"/>
      <c r="Y518" s="805"/>
      <c r="Z518" s="914"/>
      <c r="AA518" s="102"/>
      <c r="AB518" s="102"/>
      <c r="AC518" s="102"/>
      <c r="AD518" s="102"/>
      <c r="AE518" s="102"/>
      <c r="AF518" s="102"/>
      <c r="AG518" s="102"/>
      <c r="AH518" s="102"/>
      <c r="AI518" s="102"/>
      <c r="AJ518" s="906"/>
      <c r="AK518" s="102"/>
      <c r="AL518" s="915"/>
      <c r="AM518" s="915"/>
      <c r="AN518" s="114"/>
      <c r="AO518" s="64"/>
      <c r="AP518" s="64"/>
      <c r="AQ518" s="64"/>
      <c r="AR518" s="916"/>
      <c r="AS518" s="916"/>
      <c r="AT518" s="916"/>
      <c r="AU518" s="917"/>
      <c r="AV518" s="917"/>
      <c r="AW518" s="917"/>
      <c r="AX518" s="918"/>
      <c r="AY518" s="916"/>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917"/>
      <c r="CA518" s="917"/>
      <c r="CB518" s="64"/>
      <c r="CC518" s="919"/>
      <c r="CD518" s="919"/>
      <c r="CE518" s="64"/>
      <c r="CF518" s="528"/>
      <c r="CG518" s="529"/>
      <c r="CH518" s="64"/>
      <c r="CI518" s="64"/>
      <c r="CJ518" s="64"/>
      <c r="CK518" s="64"/>
      <c r="CL518" s="64"/>
      <c r="CM518" s="64"/>
      <c r="CN518" s="64"/>
      <c r="CO518" s="64"/>
      <c r="CP518" s="64"/>
      <c r="CQ518" s="64"/>
      <c r="CR518" s="64"/>
      <c r="CS518" s="64"/>
      <c r="CT518" s="64"/>
      <c r="CU518" s="64"/>
      <c r="CV518" s="64"/>
      <c r="CW518" s="64"/>
      <c r="CX518" s="64"/>
      <c r="CY518" s="1011"/>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c r="FC518" s="64"/>
      <c r="FD518" s="64"/>
      <c r="FE518" s="64"/>
      <c r="FF518" s="64"/>
      <c r="FG518" s="64"/>
      <c r="FH518" s="64"/>
      <c r="FI518" s="64"/>
      <c r="FJ518" s="64"/>
      <c r="FK518" s="64"/>
      <c r="FL518" s="64"/>
      <c r="FM518" s="64"/>
      <c r="FN518" s="64"/>
      <c r="FO518" s="64"/>
      <c r="FP518" s="64"/>
      <c r="FQ518" s="64"/>
      <c r="FR518" s="64"/>
      <c r="FS518" s="64"/>
      <c r="FT518" s="64"/>
      <c r="FU518" s="64"/>
      <c r="FV518" s="64"/>
      <c r="FW518" s="64"/>
      <c r="FX518" s="64"/>
      <c r="FY518" s="64"/>
      <c r="FZ518" s="64"/>
      <c r="GA518" s="64"/>
      <c r="GB518" s="64"/>
      <c r="GC518" s="64"/>
      <c r="GD518" s="64"/>
      <c r="GE518" s="64"/>
      <c r="GF518" s="64"/>
      <c r="GG518" s="64"/>
      <c r="GH518" s="64"/>
      <c r="GI518" s="64"/>
      <c r="GJ518" s="64"/>
      <c r="GK518" s="64"/>
      <c r="GL518" s="64"/>
      <c r="GM518" s="64"/>
      <c r="GN518" s="64"/>
      <c r="GO518" s="64"/>
      <c r="GP518" s="64"/>
      <c r="GQ518" s="64"/>
      <c r="GR518" s="64"/>
      <c r="GS518" s="64"/>
      <c r="GT518" s="64"/>
      <c r="GU518" s="64"/>
      <c r="GV518" s="64"/>
      <c r="GW518" s="64"/>
      <c r="GX518" s="64"/>
      <c r="GY518" s="64"/>
      <c r="GZ518" s="64"/>
      <c r="HA518" s="64"/>
      <c r="HB518" s="64"/>
      <c r="HC518" s="64"/>
      <c r="HD518" s="64"/>
      <c r="HE518" s="64"/>
      <c r="HF518" s="64"/>
      <c r="HG518" s="64"/>
      <c r="HH518" s="64"/>
      <c r="HI518" s="64"/>
      <c r="HJ518" s="64"/>
      <c r="HK518" s="64"/>
      <c r="HL518" s="64"/>
      <c r="HM518" s="64"/>
      <c r="HN518" s="64"/>
      <c r="HO518" s="64"/>
      <c r="HP518" s="64"/>
      <c r="HQ518" s="64"/>
      <c r="HR518" s="64"/>
      <c r="HS518" s="64"/>
      <c r="HT518" s="64"/>
      <c r="HU518" s="64"/>
      <c r="HV518" s="64"/>
      <c r="HW518" s="64"/>
      <c r="HX518" s="64"/>
      <c r="HY518" s="64"/>
      <c r="HZ518" s="64"/>
      <c r="IA518" s="64"/>
      <c r="IB518" s="64"/>
      <c r="IC518" s="64"/>
      <c r="ID518" s="64"/>
      <c r="IE518" s="64"/>
      <c r="IF518" s="64"/>
      <c r="IG518" s="64"/>
      <c r="IH518" s="64"/>
      <c r="II518" s="64"/>
      <c r="IJ518" s="64"/>
      <c r="IK518" s="64"/>
      <c r="IL518" s="64"/>
      <c r="IM518" s="64"/>
      <c r="IN518" s="64"/>
      <c r="IO518" s="64"/>
      <c r="IP518" s="64"/>
      <c r="IQ518" s="64"/>
      <c r="IR518" s="64"/>
      <c r="IS518" s="64"/>
      <c r="IT518" s="64"/>
      <c r="IU518" s="64"/>
      <c r="IV518" s="64"/>
      <c r="IW518" s="64"/>
      <c r="IX518" s="64"/>
      <c r="IY518" s="64"/>
      <c r="IZ518" s="64"/>
      <c r="JA518" s="64"/>
      <c r="JB518" s="64"/>
      <c r="JC518" s="64"/>
      <c r="JD518" s="64"/>
      <c r="JE518" s="64"/>
      <c r="JF518" s="64"/>
      <c r="JG518" s="64"/>
      <c r="JH518" s="64"/>
      <c r="JI518" s="64"/>
    </row>
    <row r="519" spans="1:269" s="920" customFormat="1" x14ac:dyDescent="0.2">
      <c r="A519" s="116"/>
      <c r="B519" s="64"/>
      <c r="C519" s="64"/>
      <c r="D519" s="64"/>
      <c r="E519" s="64"/>
      <c r="F519" s="64"/>
      <c r="G519" s="64"/>
      <c r="H519" s="64"/>
      <c r="I519" s="64"/>
      <c r="J519" s="116"/>
      <c r="K519" s="116"/>
      <c r="L519" s="116"/>
      <c r="M519" s="116"/>
      <c r="N519" s="116"/>
      <c r="O519" s="116"/>
      <c r="P519" s="116"/>
      <c r="Q519" s="102"/>
      <c r="R519" s="102"/>
      <c r="S519" s="102"/>
      <c r="T519" s="102"/>
      <c r="U519" s="913"/>
      <c r="V519" s="114"/>
      <c r="W519" s="805"/>
      <c r="X519" s="805"/>
      <c r="Y519" s="805"/>
      <c r="Z519" s="914"/>
      <c r="AA519" s="102"/>
      <c r="AB519" s="102"/>
      <c r="AC519" s="102"/>
      <c r="AD519" s="102"/>
      <c r="AE519" s="102"/>
      <c r="AF519" s="102"/>
      <c r="AG519" s="102"/>
      <c r="AH519" s="102"/>
      <c r="AI519" s="102"/>
      <c r="AJ519" s="906"/>
      <c r="AK519" s="102"/>
      <c r="AL519" s="915"/>
      <c r="AM519" s="915"/>
      <c r="AN519" s="114"/>
      <c r="AO519" s="64"/>
      <c r="AP519" s="64"/>
      <c r="AQ519" s="64"/>
      <c r="AR519" s="916"/>
      <c r="AS519" s="916"/>
      <c r="AT519" s="916"/>
      <c r="AU519" s="917"/>
      <c r="AV519" s="917"/>
      <c r="AW519" s="917"/>
      <c r="AX519" s="918"/>
      <c r="AY519" s="916"/>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917"/>
      <c r="CA519" s="917"/>
      <c r="CB519" s="64"/>
      <c r="CC519" s="919"/>
      <c r="CD519" s="919"/>
      <c r="CE519" s="64"/>
      <c r="CF519" s="528"/>
      <c r="CG519" s="529"/>
      <c r="CH519" s="64"/>
      <c r="CI519" s="64"/>
      <c r="CJ519" s="64"/>
      <c r="CK519" s="64"/>
      <c r="CL519" s="64"/>
      <c r="CM519" s="64"/>
      <c r="CN519" s="64"/>
      <c r="CO519" s="64"/>
      <c r="CP519" s="64"/>
      <c r="CQ519" s="64"/>
      <c r="CR519" s="64"/>
      <c r="CS519" s="64"/>
      <c r="CT519" s="64"/>
      <c r="CU519" s="64"/>
      <c r="CV519" s="64"/>
      <c r="CW519" s="64"/>
      <c r="CX519" s="64"/>
      <c r="CY519" s="1011"/>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c r="FC519" s="64"/>
      <c r="FD519" s="64"/>
      <c r="FE519" s="64"/>
      <c r="FF519" s="64"/>
      <c r="FG519" s="64"/>
      <c r="FH519" s="64"/>
      <c r="FI519" s="64"/>
      <c r="FJ519" s="64"/>
      <c r="FK519" s="64"/>
      <c r="FL519" s="64"/>
      <c r="FM519" s="64"/>
      <c r="FN519" s="64"/>
      <c r="FO519" s="64"/>
      <c r="FP519" s="64"/>
      <c r="FQ519" s="64"/>
      <c r="FR519" s="64"/>
      <c r="FS519" s="64"/>
      <c r="FT519" s="64"/>
      <c r="FU519" s="64"/>
      <c r="FV519" s="64"/>
      <c r="FW519" s="64"/>
      <c r="FX519" s="64"/>
      <c r="FY519" s="64"/>
      <c r="FZ519" s="64"/>
      <c r="GA519" s="64"/>
      <c r="GB519" s="64"/>
      <c r="GC519" s="64"/>
      <c r="GD519" s="64"/>
      <c r="GE519" s="64"/>
      <c r="GF519" s="64"/>
      <c r="GG519" s="64"/>
      <c r="GH519" s="64"/>
      <c r="GI519" s="64"/>
      <c r="GJ519" s="64"/>
      <c r="GK519" s="64"/>
      <c r="GL519" s="64"/>
      <c r="GM519" s="64"/>
      <c r="GN519" s="64"/>
      <c r="GO519" s="64"/>
      <c r="GP519" s="64"/>
      <c r="GQ519" s="64"/>
      <c r="GR519" s="64"/>
      <c r="GS519" s="64"/>
      <c r="GT519" s="64"/>
      <c r="GU519" s="64"/>
      <c r="GV519" s="64"/>
      <c r="GW519" s="64"/>
      <c r="GX519" s="64"/>
      <c r="GY519" s="64"/>
      <c r="GZ519" s="64"/>
      <c r="HA519" s="64"/>
      <c r="HB519" s="64"/>
      <c r="HC519" s="64"/>
      <c r="HD519" s="64"/>
      <c r="HE519" s="64"/>
      <c r="HF519" s="64"/>
      <c r="HG519" s="64"/>
      <c r="HH519" s="64"/>
      <c r="HI519" s="64"/>
      <c r="HJ519" s="64"/>
      <c r="HK519" s="64"/>
      <c r="HL519" s="64"/>
      <c r="HM519" s="64"/>
      <c r="HN519" s="64"/>
      <c r="HO519" s="64"/>
      <c r="HP519" s="64"/>
      <c r="HQ519" s="64"/>
      <c r="HR519" s="64"/>
      <c r="HS519" s="64"/>
      <c r="HT519" s="64"/>
      <c r="HU519" s="64"/>
      <c r="HV519" s="64"/>
      <c r="HW519" s="64"/>
      <c r="HX519" s="64"/>
      <c r="HY519" s="64"/>
      <c r="HZ519" s="64"/>
      <c r="IA519" s="64"/>
      <c r="IB519" s="64"/>
      <c r="IC519" s="64"/>
      <c r="ID519" s="64"/>
      <c r="IE519" s="64"/>
      <c r="IF519" s="64"/>
      <c r="IG519" s="64"/>
      <c r="IH519" s="64"/>
      <c r="II519" s="64"/>
      <c r="IJ519" s="64"/>
      <c r="IK519" s="64"/>
      <c r="IL519" s="64"/>
      <c r="IM519" s="64"/>
      <c r="IN519" s="64"/>
      <c r="IO519" s="64"/>
      <c r="IP519" s="64"/>
      <c r="IQ519" s="64"/>
      <c r="IR519" s="64"/>
      <c r="IS519" s="64"/>
      <c r="IT519" s="64"/>
      <c r="IU519" s="64"/>
      <c r="IV519" s="64"/>
      <c r="IW519" s="64"/>
      <c r="IX519" s="64"/>
      <c r="IY519" s="64"/>
      <c r="IZ519" s="64"/>
      <c r="JA519" s="64"/>
      <c r="JB519" s="64"/>
      <c r="JC519" s="64"/>
      <c r="JD519" s="64"/>
      <c r="JE519" s="64"/>
      <c r="JF519" s="64"/>
      <c r="JG519" s="64"/>
      <c r="JH519" s="64"/>
      <c r="JI519" s="64"/>
    </row>
    <row r="520" spans="1:269" s="920" customFormat="1" x14ac:dyDescent="0.2">
      <c r="A520" s="116"/>
      <c r="B520" s="64"/>
      <c r="C520" s="64"/>
      <c r="D520" s="64"/>
      <c r="E520" s="64"/>
      <c r="F520" s="64"/>
      <c r="G520" s="64"/>
      <c r="H520" s="64"/>
      <c r="I520" s="64"/>
      <c r="J520" s="116"/>
      <c r="K520" s="116"/>
      <c r="L520" s="116"/>
      <c r="M520" s="116"/>
      <c r="N520" s="116"/>
      <c r="O520" s="116"/>
      <c r="P520" s="116"/>
      <c r="Q520" s="102"/>
      <c r="R520" s="102"/>
      <c r="S520" s="102"/>
      <c r="T520" s="102"/>
      <c r="U520" s="913"/>
      <c r="V520" s="114"/>
      <c r="W520" s="805"/>
      <c r="X520" s="805"/>
      <c r="Y520" s="805"/>
      <c r="Z520" s="914"/>
      <c r="AA520" s="102"/>
      <c r="AB520" s="102"/>
      <c r="AC520" s="102"/>
      <c r="AD520" s="102"/>
      <c r="AE520" s="102"/>
      <c r="AF520" s="102"/>
      <c r="AG520" s="102"/>
      <c r="AH520" s="102"/>
      <c r="AI520" s="102"/>
      <c r="AJ520" s="906"/>
      <c r="AK520" s="102"/>
      <c r="AL520" s="915"/>
      <c r="AM520" s="915"/>
      <c r="AN520" s="114"/>
      <c r="AO520" s="64"/>
      <c r="AP520" s="64"/>
      <c r="AQ520" s="64"/>
      <c r="AR520" s="916"/>
      <c r="AS520" s="916"/>
      <c r="AT520" s="916"/>
      <c r="AU520" s="917"/>
      <c r="AV520" s="917"/>
      <c r="AW520" s="917"/>
      <c r="AX520" s="918"/>
      <c r="AY520" s="916"/>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917"/>
      <c r="CA520" s="917"/>
      <c r="CB520" s="64"/>
      <c r="CC520" s="919"/>
      <c r="CD520" s="919"/>
      <c r="CE520" s="64"/>
      <c r="CF520" s="528"/>
      <c r="CG520" s="529"/>
      <c r="CH520" s="64"/>
      <c r="CI520" s="64"/>
      <c r="CJ520" s="64"/>
      <c r="CK520" s="64"/>
      <c r="CL520" s="64"/>
      <c r="CM520" s="64"/>
      <c r="CN520" s="64"/>
      <c r="CO520" s="64"/>
      <c r="CP520" s="64"/>
      <c r="CQ520" s="64"/>
      <c r="CR520" s="64"/>
      <c r="CS520" s="64"/>
      <c r="CT520" s="64"/>
      <c r="CU520" s="64"/>
      <c r="CV520" s="64"/>
      <c r="CW520" s="64"/>
      <c r="CX520" s="64"/>
      <c r="CY520" s="1011"/>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c r="FC520" s="64"/>
      <c r="FD520" s="64"/>
      <c r="FE520" s="64"/>
      <c r="FF520" s="64"/>
      <c r="FG520" s="64"/>
      <c r="FH520" s="64"/>
      <c r="FI520" s="64"/>
      <c r="FJ520" s="64"/>
      <c r="FK520" s="64"/>
      <c r="FL520" s="64"/>
      <c r="FM520" s="64"/>
      <c r="FN520" s="64"/>
      <c r="FO520" s="64"/>
      <c r="FP520" s="64"/>
      <c r="FQ520" s="64"/>
      <c r="FR520" s="64"/>
      <c r="FS520" s="64"/>
      <c r="FT520" s="64"/>
      <c r="FU520" s="64"/>
      <c r="FV520" s="64"/>
      <c r="FW520" s="64"/>
      <c r="FX520" s="64"/>
      <c r="FY520" s="64"/>
      <c r="FZ520" s="64"/>
      <c r="GA520" s="64"/>
      <c r="GB520" s="64"/>
      <c r="GC520" s="64"/>
      <c r="GD520" s="64"/>
      <c r="GE520" s="64"/>
      <c r="GF520" s="64"/>
      <c r="GG520" s="64"/>
      <c r="GH520" s="64"/>
      <c r="GI520" s="64"/>
      <c r="GJ520" s="64"/>
      <c r="GK520" s="64"/>
      <c r="GL520" s="64"/>
      <c r="GM520" s="64"/>
      <c r="GN520" s="64"/>
      <c r="GO520" s="64"/>
      <c r="GP520" s="64"/>
      <c r="GQ520" s="64"/>
      <c r="GR520" s="64"/>
      <c r="GS520" s="64"/>
      <c r="GT520" s="64"/>
      <c r="GU520" s="64"/>
      <c r="GV520" s="64"/>
      <c r="GW520" s="64"/>
      <c r="GX520" s="64"/>
      <c r="GY520" s="64"/>
      <c r="GZ520" s="64"/>
      <c r="HA520" s="64"/>
      <c r="HB520" s="64"/>
      <c r="HC520" s="64"/>
      <c r="HD520" s="64"/>
      <c r="HE520" s="64"/>
      <c r="HF520" s="64"/>
      <c r="HG520" s="64"/>
      <c r="HH520" s="64"/>
      <c r="HI520" s="64"/>
      <c r="HJ520" s="64"/>
      <c r="HK520" s="64"/>
      <c r="HL520" s="64"/>
      <c r="HM520" s="64"/>
      <c r="HN520" s="64"/>
      <c r="HO520" s="64"/>
      <c r="HP520" s="64"/>
      <c r="HQ520" s="64"/>
      <c r="HR520" s="64"/>
      <c r="HS520" s="64"/>
      <c r="HT520" s="64"/>
      <c r="HU520" s="64"/>
      <c r="HV520" s="64"/>
      <c r="HW520" s="64"/>
      <c r="HX520" s="64"/>
      <c r="HY520" s="64"/>
      <c r="HZ520" s="64"/>
      <c r="IA520" s="64"/>
      <c r="IB520" s="64"/>
      <c r="IC520" s="64"/>
      <c r="ID520" s="64"/>
      <c r="IE520" s="64"/>
      <c r="IF520" s="64"/>
      <c r="IG520" s="64"/>
      <c r="IH520" s="64"/>
      <c r="II520" s="64"/>
      <c r="IJ520" s="64"/>
      <c r="IK520" s="64"/>
      <c r="IL520" s="64"/>
      <c r="IM520" s="64"/>
      <c r="IN520" s="64"/>
      <c r="IO520" s="64"/>
      <c r="IP520" s="64"/>
      <c r="IQ520" s="64"/>
      <c r="IR520" s="64"/>
      <c r="IS520" s="64"/>
      <c r="IT520" s="64"/>
      <c r="IU520" s="64"/>
      <c r="IV520" s="64"/>
      <c r="IW520" s="64"/>
      <c r="IX520" s="64"/>
      <c r="IY520" s="64"/>
      <c r="IZ520" s="64"/>
      <c r="JA520" s="64"/>
      <c r="JB520" s="64"/>
      <c r="JC520" s="64"/>
      <c r="JD520" s="64"/>
      <c r="JE520" s="64"/>
      <c r="JF520" s="64"/>
      <c r="JG520" s="64"/>
      <c r="JH520" s="64"/>
      <c r="JI520" s="64"/>
    </row>
    <row r="521" spans="1:269" s="920" customFormat="1" x14ac:dyDescent="0.2">
      <c r="A521" s="116"/>
      <c r="B521" s="64"/>
      <c r="C521" s="64"/>
      <c r="D521" s="64"/>
      <c r="E521" s="64"/>
      <c r="F521" s="64"/>
      <c r="G521" s="64"/>
      <c r="H521" s="64"/>
      <c r="I521" s="64"/>
      <c r="J521" s="116"/>
      <c r="K521" s="116"/>
      <c r="L521" s="116"/>
      <c r="M521" s="116"/>
      <c r="N521" s="116"/>
      <c r="O521" s="116"/>
      <c r="P521" s="116"/>
      <c r="Q521" s="102"/>
      <c r="R521" s="102"/>
      <c r="S521" s="102"/>
      <c r="T521" s="102"/>
      <c r="U521" s="913"/>
      <c r="V521" s="114"/>
      <c r="W521" s="805"/>
      <c r="X521" s="805"/>
      <c r="Y521" s="805"/>
      <c r="Z521" s="914"/>
      <c r="AA521" s="102"/>
      <c r="AB521" s="102"/>
      <c r="AC521" s="102"/>
      <c r="AD521" s="102"/>
      <c r="AE521" s="102"/>
      <c r="AF521" s="102"/>
      <c r="AG521" s="102"/>
      <c r="AH521" s="102"/>
      <c r="AI521" s="102"/>
      <c r="AJ521" s="906"/>
      <c r="AK521" s="102"/>
      <c r="AL521" s="915"/>
      <c r="AM521" s="915"/>
      <c r="AN521" s="114"/>
      <c r="AO521" s="64"/>
      <c r="AP521" s="64"/>
      <c r="AQ521" s="64"/>
      <c r="AR521" s="916"/>
      <c r="AS521" s="916"/>
      <c r="AT521" s="916"/>
      <c r="AU521" s="917"/>
      <c r="AV521" s="917"/>
      <c r="AW521" s="917"/>
      <c r="AX521" s="918"/>
      <c r="AY521" s="916"/>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917"/>
      <c r="CA521" s="917"/>
      <c r="CB521" s="64"/>
      <c r="CC521" s="919"/>
      <c r="CD521" s="919"/>
      <c r="CE521" s="64"/>
      <c r="CF521" s="528"/>
      <c r="CG521" s="529"/>
      <c r="CH521" s="64"/>
      <c r="CI521" s="64"/>
      <c r="CJ521" s="64"/>
      <c r="CK521" s="64"/>
      <c r="CL521" s="64"/>
      <c r="CM521" s="64"/>
      <c r="CN521" s="64"/>
      <c r="CO521" s="64"/>
      <c r="CP521" s="64"/>
      <c r="CQ521" s="64"/>
      <c r="CR521" s="64"/>
      <c r="CS521" s="64"/>
      <c r="CT521" s="64"/>
      <c r="CU521" s="64"/>
      <c r="CV521" s="64"/>
      <c r="CW521" s="64"/>
      <c r="CX521" s="64"/>
      <c r="CY521" s="1011"/>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c r="FC521" s="64"/>
      <c r="FD521" s="64"/>
      <c r="FE521" s="64"/>
      <c r="FF521" s="64"/>
      <c r="FG521" s="64"/>
      <c r="FH521" s="64"/>
      <c r="FI521" s="64"/>
      <c r="FJ521" s="64"/>
      <c r="FK521" s="64"/>
      <c r="FL521" s="64"/>
      <c r="FM521" s="64"/>
      <c r="FN521" s="64"/>
      <c r="FO521" s="64"/>
      <c r="FP521" s="64"/>
      <c r="FQ521" s="64"/>
      <c r="FR521" s="64"/>
      <c r="FS521" s="64"/>
      <c r="FT521" s="64"/>
      <c r="FU521" s="64"/>
      <c r="FV521" s="64"/>
      <c r="FW521" s="64"/>
      <c r="FX521" s="64"/>
      <c r="FY521" s="64"/>
      <c r="FZ521" s="64"/>
      <c r="GA521" s="64"/>
      <c r="GB521" s="64"/>
      <c r="GC521" s="64"/>
      <c r="GD521" s="64"/>
      <c r="GE521" s="64"/>
      <c r="GF521" s="64"/>
      <c r="GG521" s="64"/>
      <c r="GH521" s="64"/>
      <c r="GI521" s="64"/>
      <c r="GJ521" s="64"/>
      <c r="GK521" s="64"/>
      <c r="GL521" s="64"/>
      <c r="GM521" s="64"/>
      <c r="GN521" s="64"/>
      <c r="GO521" s="64"/>
      <c r="GP521" s="64"/>
      <c r="GQ521" s="64"/>
      <c r="GR521" s="64"/>
      <c r="GS521" s="64"/>
      <c r="GT521" s="64"/>
      <c r="GU521" s="64"/>
      <c r="GV521" s="64"/>
      <c r="GW521" s="64"/>
      <c r="GX521" s="64"/>
      <c r="GY521" s="64"/>
      <c r="GZ521" s="64"/>
      <c r="HA521" s="64"/>
      <c r="HB521" s="64"/>
      <c r="HC521" s="64"/>
      <c r="HD521" s="64"/>
      <c r="HE521" s="64"/>
      <c r="HF521" s="64"/>
      <c r="HG521" s="64"/>
      <c r="HH521" s="64"/>
      <c r="HI521" s="64"/>
      <c r="HJ521" s="64"/>
      <c r="HK521" s="64"/>
      <c r="HL521" s="64"/>
      <c r="HM521" s="64"/>
      <c r="HN521" s="64"/>
      <c r="HO521" s="64"/>
      <c r="HP521" s="64"/>
      <c r="HQ521" s="64"/>
      <c r="HR521" s="64"/>
      <c r="HS521" s="64"/>
      <c r="HT521" s="64"/>
      <c r="HU521" s="64"/>
      <c r="HV521" s="64"/>
      <c r="HW521" s="64"/>
      <c r="HX521" s="64"/>
      <c r="HY521" s="64"/>
      <c r="HZ521" s="64"/>
      <c r="IA521" s="64"/>
      <c r="IB521" s="64"/>
      <c r="IC521" s="64"/>
      <c r="ID521" s="64"/>
      <c r="IE521" s="64"/>
      <c r="IF521" s="64"/>
      <c r="IG521" s="64"/>
      <c r="IH521" s="64"/>
      <c r="II521" s="64"/>
      <c r="IJ521" s="64"/>
      <c r="IK521" s="64"/>
      <c r="IL521" s="64"/>
      <c r="IM521" s="64"/>
      <c r="IN521" s="64"/>
      <c r="IO521" s="64"/>
      <c r="IP521" s="64"/>
      <c r="IQ521" s="64"/>
      <c r="IR521" s="64"/>
      <c r="IS521" s="64"/>
      <c r="IT521" s="64"/>
      <c r="IU521" s="64"/>
      <c r="IV521" s="64"/>
      <c r="IW521" s="64"/>
      <c r="IX521" s="64"/>
      <c r="IY521" s="64"/>
      <c r="IZ521" s="64"/>
      <c r="JA521" s="64"/>
      <c r="JB521" s="64"/>
      <c r="JC521" s="64"/>
      <c r="JD521" s="64"/>
      <c r="JE521" s="64"/>
      <c r="JF521" s="64"/>
      <c r="JG521" s="64"/>
      <c r="JH521" s="64"/>
      <c r="JI521" s="64"/>
    </row>
    <row r="522" spans="1:269" s="920" customFormat="1" x14ac:dyDescent="0.2">
      <c r="A522" s="116"/>
      <c r="B522" s="64"/>
      <c r="C522" s="64"/>
      <c r="D522" s="64"/>
      <c r="E522" s="64"/>
      <c r="F522" s="64"/>
      <c r="G522" s="64"/>
      <c r="H522" s="64"/>
      <c r="I522" s="64"/>
      <c r="J522" s="116"/>
      <c r="K522" s="116"/>
      <c r="L522" s="116"/>
      <c r="M522" s="116"/>
      <c r="N522" s="116"/>
      <c r="O522" s="116"/>
      <c r="P522" s="116"/>
      <c r="Q522" s="102"/>
      <c r="R522" s="102"/>
      <c r="S522" s="102"/>
      <c r="T522" s="102"/>
      <c r="U522" s="913"/>
      <c r="V522" s="114"/>
      <c r="W522" s="805"/>
      <c r="X522" s="805"/>
      <c r="Y522" s="805"/>
      <c r="Z522" s="914"/>
      <c r="AA522" s="102"/>
      <c r="AB522" s="102"/>
      <c r="AC522" s="102"/>
      <c r="AD522" s="102"/>
      <c r="AE522" s="102"/>
      <c r="AF522" s="102"/>
      <c r="AG522" s="102"/>
      <c r="AH522" s="102"/>
      <c r="AI522" s="102"/>
      <c r="AJ522" s="906"/>
      <c r="AK522" s="102"/>
      <c r="AL522" s="915"/>
      <c r="AM522" s="915"/>
      <c r="AN522" s="114"/>
      <c r="AO522" s="64"/>
      <c r="AP522" s="64"/>
      <c r="AQ522" s="64"/>
      <c r="AR522" s="916"/>
      <c r="AS522" s="916"/>
      <c r="AT522" s="916"/>
      <c r="AU522" s="917"/>
      <c r="AV522" s="917"/>
      <c r="AW522" s="917"/>
      <c r="AX522" s="918"/>
      <c r="AY522" s="916"/>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917"/>
      <c r="CA522" s="917"/>
      <c r="CB522" s="64"/>
      <c r="CC522" s="919"/>
      <c r="CD522" s="919"/>
      <c r="CE522" s="64"/>
      <c r="CF522" s="528"/>
      <c r="CG522" s="529"/>
      <c r="CH522" s="64"/>
      <c r="CI522" s="64"/>
      <c r="CJ522" s="64"/>
      <c r="CK522" s="64"/>
      <c r="CL522" s="64"/>
      <c r="CM522" s="64"/>
      <c r="CN522" s="64"/>
      <c r="CO522" s="64"/>
      <c r="CP522" s="64"/>
      <c r="CQ522" s="64"/>
      <c r="CR522" s="64"/>
      <c r="CS522" s="64"/>
      <c r="CT522" s="64"/>
      <c r="CU522" s="64"/>
      <c r="CV522" s="64"/>
      <c r="CW522" s="64"/>
      <c r="CX522" s="64"/>
      <c r="CY522" s="1011"/>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c r="FC522" s="64"/>
      <c r="FD522" s="64"/>
      <c r="FE522" s="64"/>
      <c r="FF522" s="64"/>
      <c r="FG522" s="64"/>
      <c r="FH522" s="64"/>
      <c r="FI522" s="64"/>
      <c r="FJ522" s="64"/>
      <c r="FK522" s="64"/>
      <c r="FL522" s="64"/>
      <c r="FM522" s="64"/>
      <c r="FN522" s="64"/>
      <c r="FO522" s="64"/>
      <c r="FP522" s="64"/>
      <c r="FQ522" s="64"/>
      <c r="FR522" s="64"/>
      <c r="FS522" s="64"/>
      <c r="FT522" s="64"/>
      <c r="FU522" s="64"/>
      <c r="FV522" s="64"/>
      <c r="FW522" s="64"/>
      <c r="FX522" s="64"/>
      <c r="FY522" s="64"/>
      <c r="FZ522" s="64"/>
      <c r="GA522" s="64"/>
      <c r="GB522" s="64"/>
      <c r="GC522" s="64"/>
      <c r="GD522" s="64"/>
      <c r="GE522" s="64"/>
      <c r="GF522" s="64"/>
      <c r="GG522" s="64"/>
      <c r="GH522" s="64"/>
      <c r="GI522" s="64"/>
      <c r="GJ522" s="64"/>
      <c r="GK522" s="64"/>
      <c r="GL522" s="64"/>
      <c r="GM522" s="64"/>
      <c r="GN522" s="64"/>
      <c r="GO522" s="64"/>
      <c r="GP522" s="64"/>
      <c r="GQ522" s="64"/>
      <c r="GR522" s="64"/>
      <c r="GS522" s="64"/>
      <c r="GT522" s="64"/>
      <c r="GU522" s="64"/>
      <c r="GV522" s="64"/>
      <c r="GW522" s="64"/>
      <c r="GX522" s="64"/>
      <c r="GY522" s="64"/>
      <c r="GZ522" s="64"/>
      <c r="HA522" s="64"/>
      <c r="HB522" s="64"/>
      <c r="HC522" s="64"/>
      <c r="HD522" s="64"/>
      <c r="HE522" s="64"/>
      <c r="HF522" s="64"/>
      <c r="HG522" s="64"/>
      <c r="HH522" s="64"/>
      <c r="HI522" s="64"/>
      <c r="HJ522" s="64"/>
      <c r="HK522" s="64"/>
      <c r="HL522" s="64"/>
      <c r="HM522" s="64"/>
      <c r="HN522" s="64"/>
      <c r="HO522" s="64"/>
      <c r="HP522" s="64"/>
      <c r="HQ522" s="64"/>
      <c r="HR522" s="64"/>
      <c r="HS522" s="64"/>
      <c r="HT522" s="64"/>
      <c r="HU522" s="64"/>
      <c r="HV522" s="64"/>
      <c r="HW522" s="64"/>
      <c r="HX522" s="64"/>
      <c r="HY522" s="64"/>
      <c r="HZ522" s="64"/>
      <c r="IA522" s="64"/>
      <c r="IB522" s="64"/>
      <c r="IC522" s="64"/>
      <c r="ID522" s="64"/>
      <c r="IE522" s="64"/>
      <c r="IF522" s="64"/>
      <c r="IG522" s="64"/>
      <c r="IH522" s="64"/>
      <c r="II522" s="64"/>
      <c r="IJ522" s="64"/>
      <c r="IK522" s="64"/>
      <c r="IL522" s="64"/>
      <c r="IM522" s="64"/>
      <c r="IN522" s="64"/>
      <c r="IO522" s="64"/>
      <c r="IP522" s="64"/>
      <c r="IQ522" s="64"/>
      <c r="IR522" s="64"/>
      <c r="IS522" s="64"/>
      <c r="IT522" s="64"/>
      <c r="IU522" s="64"/>
      <c r="IV522" s="64"/>
      <c r="IW522" s="64"/>
      <c r="IX522" s="64"/>
      <c r="IY522" s="64"/>
      <c r="IZ522" s="64"/>
      <c r="JA522" s="64"/>
      <c r="JB522" s="64"/>
      <c r="JC522" s="64"/>
      <c r="JD522" s="64"/>
      <c r="JE522" s="64"/>
      <c r="JF522" s="64"/>
      <c r="JG522" s="64"/>
      <c r="JH522" s="64"/>
      <c r="JI522" s="64"/>
    </row>
    <row r="523" spans="1:269" s="920" customFormat="1" x14ac:dyDescent="0.2">
      <c r="A523" s="116"/>
      <c r="B523" s="64"/>
      <c r="C523" s="64"/>
      <c r="D523" s="64"/>
      <c r="E523" s="64"/>
      <c r="F523" s="64"/>
      <c r="G523" s="64"/>
      <c r="H523" s="64"/>
      <c r="I523" s="64"/>
      <c r="J523" s="116"/>
      <c r="K523" s="116"/>
      <c r="L523" s="116"/>
      <c r="M523" s="116"/>
      <c r="N523" s="116"/>
      <c r="O523" s="116"/>
      <c r="P523" s="116"/>
      <c r="Q523" s="102"/>
      <c r="R523" s="102"/>
      <c r="S523" s="102"/>
      <c r="T523" s="102"/>
      <c r="U523" s="913"/>
      <c r="V523" s="114"/>
      <c r="W523" s="805"/>
      <c r="X523" s="805"/>
      <c r="Y523" s="805"/>
      <c r="Z523" s="914"/>
      <c r="AA523" s="102"/>
      <c r="AB523" s="102"/>
      <c r="AC523" s="102"/>
      <c r="AD523" s="102"/>
      <c r="AE523" s="102"/>
      <c r="AF523" s="102"/>
      <c r="AG523" s="102"/>
      <c r="AH523" s="102"/>
      <c r="AI523" s="102"/>
      <c r="AJ523" s="906"/>
      <c r="AK523" s="102"/>
      <c r="AL523" s="915"/>
      <c r="AM523" s="915"/>
      <c r="AN523" s="114"/>
      <c r="AO523" s="64"/>
      <c r="AP523" s="64"/>
      <c r="AQ523" s="64"/>
      <c r="AR523" s="916"/>
      <c r="AS523" s="916"/>
      <c r="AT523" s="916"/>
      <c r="AU523" s="917"/>
      <c r="AV523" s="917"/>
      <c r="AW523" s="917"/>
      <c r="AX523" s="918"/>
      <c r="AY523" s="916"/>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917"/>
      <c r="CA523" s="917"/>
      <c r="CB523" s="64"/>
      <c r="CC523" s="919"/>
      <c r="CD523" s="919"/>
      <c r="CE523" s="64"/>
      <c r="CF523" s="528"/>
      <c r="CG523" s="529"/>
      <c r="CH523" s="64"/>
      <c r="CI523" s="64"/>
      <c r="CJ523" s="64"/>
      <c r="CK523" s="64"/>
      <c r="CL523" s="64"/>
      <c r="CM523" s="64"/>
      <c r="CN523" s="64"/>
      <c r="CO523" s="64"/>
      <c r="CP523" s="64"/>
      <c r="CQ523" s="64"/>
      <c r="CR523" s="64"/>
      <c r="CS523" s="64"/>
      <c r="CT523" s="64"/>
      <c r="CU523" s="64"/>
      <c r="CV523" s="64"/>
      <c r="CW523" s="64"/>
      <c r="CX523" s="64"/>
      <c r="CY523" s="1011"/>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c r="FC523" s="64"/>
      <c r="FD523" s="64"/>
      <c r="FE523" s="64"/>
      <c r="FF523" s="64"/>
      <c r="FG523" s="64"/>
      <c r="FH523" s="64"/>
      <c r="FI523" s="64"/>
      <c r="FJ523" s="64"/>
      <c r="FK523" s="64"/>
      <c r="FL523" s="64"/>
      <c r="FM523" s="64"/>
      <c r="FN523" s="64"/>
      <c r="FO523" s="64"/>
      <c r="FP523" s="64"/>
      <c r="FQ523" s="64"/>
      <c r="FR523" s="64"/>
      <c r="FS523" s="64"/>
      <c r="FT523" s="64"/>
      <c r="FU523" s="64"/>
      <c r="FV523" s="64"/>
      <c r="FW523" s="64"/>
      <c r="FX523" s="64"/>
      <c r="FY523" s="64"/>
      <c r="FZ523" s="64"/>
      <c r="GA523" s="64"/>
      <c r="GB523" s="64"/>
      <c r="GC523" s="64"/>
      <c r="GD523" s="64"/>
      <c r="GE523" s="64"/>
      <c r="GF523" s="64"/>
      <c r="GG523" s="64"/>
      <c r="GH523" s="64"/>
      <c r="GI523" s="64"/>
      <c r="GJ523" s="64"/>
      <c r="GK523" s="64"/>
      <c r="GL523" s="64"/>
      <c r="GM523" s="64"/>
      <c r="GN523" s="64"/>
      <c r="GO523" s="64"/>
      <c r="GP523" s="64"/>
      <c r="GQ523" s="64"/>
      <c r="GR523" s="64"/>
      <c r="GS523" s="64"/>
      <c r="GT523" s="64"/>
      <c r="GU523" s="64"/>
      <c r="GV523" s="64"/>
      <c r="GW523" s="64"/>
      <c r="GX523" s="64"/>
      <c r="GY523" s="64"/>
      <c r="GZ523" s="64"/>
      <c r="HA523" s="64"/>
      <c r="HB523" s="64"/>
      <c r="HC523" s="64"/>
      <c r="HD523" s="64"/>
      <c r="HE523" s="64"/>
      <c r="HF523" s="64"/>
      <c r="HG523" s="64"/>
      <c r="HH523" s="64"/>
      <c r="HI523" s="64"/>
      <c r="HJ523" s="64"/>
      <c r="HK523" s="64"/>
      <c r="HL523" s="64"/>
      <c r="HM523" s="64"/>
      <c r="HN523" s="64"/>
      <c r="HO523" s="64"/>
      <c r="HP523" s="64"/>
      <c r="HQ523" s="64"/>
      <c r="HR523" s="64"/>
      <c r="HS523" s="64"/>
      <c r="HT523" s="64"/>
      <c r="HU523" s="64"/>
      <c r="HV523" s="64"/>
      <c r="HW523" s="64"/>
      <c r="HX523" s="64"/>
      <c r="HY523" s="64"/>
      <c r="HZ523" s="64"/>
      <c r="IA523" s="64"/>
      <c r="IB523" s="64"/>
      <c r="IC523" s="64"/>
      <c r="ID523" s="64"/>
      <c r="IE523" s="64"/>
      <c r="IF523" s="64"/>
      <c r="IG523" s="64"/>
      <c r="IH523" s="64"/>
      <c r="II523" s="64"/>
      <c r="IJ523" s="64"/>
      <c r="IK523" s="64"/>
      <c r="IL523" s="64"/>
      <c r="IM523" s="64"/>
      <c r="IN523" s="64"/>
      <c r="IO523" s="64"/>
      <c r="IP523" s="64"/>
      <c r="IQ523" s="64"/>
      <c r="IR523" s="64"/>
      <c r="IS523" s="64"/>
      <c r="IT523" s="64"/>
      <c r="IU523" s="64"/>
      <c r="IV523" s="64"/>
      <c r="IW523" s="64"/>
      <c r="IX523" s="64"/>
      <c r="IY523" s="64"/>
      <c r="IZ523" s="64"/>
      <c r="JA523" s="64"/>
      <c r="JB523" s="64"/>
      <c r="JC523" s="64"/>
      <c r="JD523" s="64"/>
      <c r="JE523" s="64"/>
      <c r="JF523" s="64"/>
      <c r="JG523" s="64"/>
      <c r="JH523" s="64"/>
      <c r="JI523" s="64"/>
    </row>
    <row r="524" spans="1:269" s="920" customFormat="1" x14ac:dyDescent="0.2">
      <c r="A524" s="116"/>
      <c r="B524" s="64"/>
      <c r="C524" s="64"/>
      <c r="D524" s="64"/>
      <c r="E524" s="64"/>
      <c r="F524" s="64"/>
      <c r="G524" s="64"/>
      <c r="H524" s="64"/>
      <c r="I524" s="64"/>
      <c r="J524" s="116"/>
      <c r="K524" s="116"/>
      <c r="L524" s="116"/>
      <c r="M524" s="116"/>
      <c r="N524" s="116"/>
      <c r="O524" s="116"/>
      <c r="P524" s="116"/>
      <c r="Q524" s="102"/>
      <c r="R524" s="102"/>
      <c r="S524" s="102"/>
      <c r="T524" s="102"/>
      <c r="U524" s="913"/>
      <c r="V524" s="114"/>
      <c r="W524" s="805"/>
      <c r="X524" s="805"/>
      <c r="Y524" s="805"/>
      <c r="Z524" s="914"/>
      <c r="AA524" s="102"/>
      <c r="AB524" s="102"/>
      <c r="AC524" s="102"/>
      <c r="AD524" s="102"/>
      <c r="AE524" s="102"/>
      <c r="AF524" s="102"/>
      <c r="AG524" s="102"/>
      <c r="AH524" s="102"/>
      <c r="AI524" s="102"/>
      <c r="AJ524" s="906"/>
      <c r="AK524" s="102"/>
      <c r="AL524" s="915"/>
      <c r="AM524" s="915"/>
      <c r="AN524" s="114"/>
      <c r="AO524" s="64"/>
      <c r="AP524" s="64"/>
      <c r="AQ524" s="64"/>
      <c r="AR524" s="916"/>
      <c r="AS524" s="916"/>
      <c r="AT524" s="916"/>
      <c r="AU524" s="917"/>
      <c r="AV524" s="917"/>
      <c r="AW524" s="917"/>
      <c r="AX524" s="918"/>
      <c r="AY524" s="916"/>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917"/>
      <c r="CA524" s="917"/>
      <c r="CB524" s="64"/>
      <c r="CC524" s="919"/>
      <c r="CD524" s="919"/>
      <c r="CE524" s="64"/>
      <c r="CF524" s="528"/>
      <c r="CG524" s="529"/>
      <c r="CH524" s="64"/>
      <c r="CI524" s="64"/>
      <c r="CJ524" s="64"/>
      <c r="CK524" s="64"/>
      <c r="CL524" s="64"/>
      <c r="CM524" s="64"/>
      <c r="CN524" s="64"/>
      <c r="CO524" s="64"/>
      <c r="CP524" s="64"/>
      <c r="CQ524" s="64"/>
      <c r="CR524" s="64"/>
      <c r="CS524" s="64"/>
      <c r="CT524" s="64"/>
      <c r="CU524" s="64"/>
      <c r="CV524" s="64"/>
      <c r="CW524" s="64"/>
      <c r="CX524" s="64"/>
      <c r="CY524" s="1011"/>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c r="FC524" s="64"/>
      <c r="FD524" s="64"/>
      <c r="FE524" s="64"/>
      <c r="FF524" s="64"/>
      <c r="FG524" s="64"/>
      <c r="FH524" s="64"/>
      <c r="FI524" s="64"/>
      <c r="FJ524" s="64"/>
      <c r="FK524" s="64"/>
      <c r="FL524" s="64"/>
      <c r="FM524" s="64"/>
      <c r="FN524" s="64"/>
      <c r="FO524" s="64"/>
      <c r="FP524" s="64"/>
      <c r="FQ524" s="64"/>
      <c r="FR524" s="64"/>
      <c r="FS524" s="64"/>
      <c r="FT524" s="64"/>
      <c r="FU524" s="64"/>
      <c r="FV524" s="64"/>
      <c r="FW524" s="64"/>
      <c r="FX524" s="64"/>
      <c r="FY524" s="64"/>
      <c r="FZ524" s="64"/>
      <c r="GA524" s="64"/>
      <c r="GB524" s="64"/>
      <c r="GC524" s="64"/>
      <c r="GD524" s="64"/>
      <c r="GE524" s="64"/>
      <c r="GF524" s="64"/>
      <c r="GG524" s="64"/>
      <c r="GH524" s="64"/>
      <c r="GI524" s="64"/>
      <c r="GJ524" s="64"/>
      <c r="GK524" s="64"/>
      <c r="GL524" s="64"/>
      <c r="GM524" s="64"/>
      <c r="GN524" s="64"/>
      <c r="GO524" s="64"/>
      <c r="GP524" s="64"/>
      <c r="GQ524" s="64"/>
      <c r="GR524" s="64"/>
      <c r="GS524" s="64"/>
      <c r="GT524" s="64"/>
      <c r="GU524" s="64"/>
      <c r="GV524" s="64"/>
      <c r="GW524" s="64"/>
      <c r="GX524" s="64"/>
      <c r="GY524" s="64"/>
      <c r="GZ524" s="64"/>
      <c r="HA524" s="64"/>
      <c r="HB524" s="64"/>
      <c r="HC524" s="64"/>
      <c r="HD524" s="64"/>
      <c r="HE524" s="64"/>
      <c r="HF524" s="64"/>
      <c r="HG524" s="64"/>
      <c r="HH524" s="64"/>
      <c r="HI524" s="64"/>
      <c r="HJ524" s="64"/>
      <c r="HK524" s="64"/>
      <c r="HL524" s="64"/>
      <c r="HM524" s="64"/>
      <c r="HN524" s="64"/>
      <c r="HO524" s="64"/>
      <c r="HP524" s="64"/>
      <c r="HQ524" s="64"/>
      <c r="HR524" s="64"/>
      <c r="HS524" s="64"/>
      <c r="HT524" s="64"/>
      <c r="HU524" s="64"/>
      <c r="HV524" s="64"/>
      <c r="HW524" s="64"/>
      <c r="HX524" s="64"/>
      <c r="HY524" s="64"/>
      <c r="HZ524" s="64"/>
      <c r="IA524" s="64"/>
      <c r="IB524" s="64"/>
      <c r="IC524" s="64"/>
      <c r="ID524" s="64"/>
      <c r="IE524" s="64"/>
      <c r="IF524" s="64"/>
      <c r="IG524" s="64"/>
      <c r="IH524" s="64"/>
      <c r="II524" s="64"/>
      <c r="IJ524" s="64"/>
      <c r="IK524" s="64"/>
      <c r="IL524" s="64"/>
      <c r="IM524" s="64"/>
      <c r="IN524" s="64"/>
      <c r="IO524" s="64"/>
      <c r="IP524" s="64"/>
      <c r="IQ524" s="64"/>
      <c r="IR524" s="64"/>
      <c r="IS524" s="64"/>
      <c r="IT524" s="64"/>
      <c r="IU524" s="64"/>
      <c r="IV524" s="64"/>
      <c r="IW524" s="64"/>
      <c r="IX524" s="64"/>
      <c r="IY524" s="64"/>
      <c r="IZ524" s="64"/>
      <c r="JA524" s="64"/>
      <c r="JB524" s="64"/>
      <c r="JC524" s="64"/>
      <c r="JD524" s="64"/>
      <c r="JE524" s="64"/>
      <c r="JF524" s="64"/>
      <c r="JG524" s="64"/>
      <c r="JH524" s="64"/>
      <c r="JI524" s="64"/>
    </row>
    <row r="525" spans="1:269" s="920" customFormat="1" x14ac:dyDescent="0.2">
      <c r="A525" s="116"/>
      <c r="B525" s="64"/>
      <c r="C525" s="64"/>
      <c r="D525" s="64"/>
      <c r="E525" s="64"/>
      <c r="F525" s="64"/>
      <c r="G525" s="64"/>
      <c r="H525" s="64"/>
      <c r="I525" s="64"/>
      <c r="J525" s="116"/>
      <c r="K525" s="116"/>
      <c r="L525" s="116"/>
      <c r="M525" s="116"/>
      <c r="N525" s="116"/>
      <c r="O525" s="116"/>
      <c r="P525" s="116"/>
      <c r="Q525" s="102"/>
      <c r="R525" s="102"/>
      <c r="S525" s="102"/>
      <c r="T525" s="102"/>
      <c r="U525" s="913"/>
      <c r="V525" s="114"/>
      <c r="W525" s="805"/>
      <c r="X525" s="805"/>
      <c r="Y525" s="805"/>
      <c r="Z525" s="914"/>
      <c r="AA525" s="102"/>
      <c r="AB525" s="102"/>
      <c r="AC525" s="102"/>
      <c r="AD525" s="102"/>
      <c r="AE525" s="102"/>
      <c r="AF525" s="102"/>
      <c r="AG525" s="102"/>
      <c r="AH525" s="102"/>
      <c r="AI525" s="102"/>
      <c r="AJ525" s="906"/>
      <c r="AK525" s="102"/>
      <c r="AL525" s="915"/>
      <c r="AM525" s="915"/>
      <c r="AN525" s="114"/>
      <c r="AO525" s="64"/>
      <c r="AP525" s="64"/>
      <c r="AQ525" s="64"/>
      <c r="AR525" s="916"/>
      <c r="AS525" s="916"/>
      <c r="AT525" s="916"/>
      <c r="AU525" s="917"/>
      <c r="AV525" s="917"/>
      <c r="AW525" s="917"/>
      <c r="AX525" s="918"/>
      <c r="AY525" s="916"/>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917"/>
      <c r="CA525" s="917"/>
      <c r="CB525" s="64"/>
      <c r="CC525" s="919"/>
      <c r="CD525" s="919"/>
      <c r="CE525" s="64"/>
      <c r="CF525" s="528"/>
      <c r="CG525" s="529"/>
      <c r="CH525" s="64"/>
      <c r="CI525" s="64"/>
      <c r="CJ525" s="64"/>
      <c r="CK525" s="64"/>
      <c r="CL525" s="64"/>
      <c r="CM525" s="64"/>
      <c r="CN525" s="64"/>
      <c r="CO525" s="64"/>
      <c r="CP525" s="64"/>
      <c r="CQ525" s="64"/>
      <c r="CR525" s="64"/>
      <c r="CS525" s="64"/>
      <c r="CT525" s="64"/>
      <c r="CU525" s="64"/>
      <c r="CV525" s="64"/>
      <c r="CW525" s="64"/>
      <c r="CX525" s="64"/>
      <c r="CY525" s="1011"/>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c r="FC525" s="64"/>
      <c r="FD525" s="64"/>
      <c r="FE525" s="64"/>
      <c r="FF525" s="64"/>
      <c r="FG525" s="64"/>
      <c r="FH525" s="64"/>
      <c r="FI525" s="64"/>
      <c r="FJ525" s="64"/>
      <c r="FK525" s="64"/>
      <c r="FL525" s="64"/>
      <c r="FM525" s="64"/>
      <c r="FN525" s="64"/>
      <c r="FO525" s="64"/>
      <c r="FP525" s="64"/>
      <c r="FQ525" s="64"/>
      <c r="FR525" s="64"/>
      <c r="FS525" s="64"/>
      <c r="FT525" s="64"/>
      <c r="FU525" s="64"/>
      <c r="FV525" s="64"/>
      <c r="FW525" s="64"/>
      <c r="FX525" s="64"/>
      <c r="FY525" s="64"/>
      <c r="FZ525" s="64"/>
      <c r="GA525" s="64"/>
      <c r="GB525" s="64"/>
      <c r="GC525" s="64"/>
      <c r="GD525" s="64"/>
      <c r="GE525" s="64"/>
      <c r="GF525" s="64"/>
      <c r="GG525" s="64"/>
      <c r="GH525" s="64"/>
      <c r="GI525" s="64"/>
      <c r="GJ525" s="64"/>
      <c r="GK525" s="64"/>
      <c r="GL525" s="64"/>
      <c r="GM525" s="64"/>
      <c r="GN525" s="64"/>
      <c r="GO525" s="64"/>
      <c r="GP525" s="64"/>
      <c r="GQ525" s="64"/>
      <c r="GR525" s="64"/>
      <c r="GS525" s="64"/>
      <c r="GT525" s="64"/>
      <c r="GU525" s="64"/>
      <c r="GV525" s="64"/>
      <c r="GW525" s="64"/>
      <c r="GX525" s="64"/>
      <c r="GY525" s="64"/>
      <c r="GZ525" s="64"/>
      <c r="HA525" s="64"/>
      <c r="HB525" s="64"/>
      <c r="HC525" s="64"/>
      <c r="HD525" s="64"/>
      <c r="HE525" s="64"/>
      <c r="HF525" s="64"/>
      <c r="HG525" s="64"/>
      <c r="HH525" s="64"/>
      <c r="HI525" s="64"/>
      <c r="HJ525" s="64"/>
      <c r="HK525" s="64"/>
      <c r="HL525" s="64"/>
      <c r="HM525" s="64"/>
      <c r="HN525" s="64"/>
      <c r="HO525" s="64"/>
      <c r="HP525" s="64"/>
      <c r="HQ525" s="64"/>
      <c r="HR525" s="64"/>
      <c r="HS525" s="64"/>
      <c r="HT525" s="64"/>
      <c r="HU525" s="64"/>
      <c r="HV525" s="64"/>
      <c r="HW525" s="64"/>
      <c r="HX525" s="64"/>
      <c r="HY525" s="64"/>
      <c r="HZ525" s="64"/>
      <c r="IA525" s="64"/>
      <c r="IB525" s="64"/>
      <c r="IC525" s="64"/>
      <c r="ID525" s="64"/>
      <c r="IE525" s="64"/>
      <c r="IF525" s="64"/>
      <c r="IG525" s="64"/>
      <c r="IH525" s="64"/>
      <c r="II525" s="64"/>
      <c r="IJ525" s="64"/>
      <c r="IK525" s="64"/>
      <c r="IL525" s="64"/>
      <c r="IM525" s="64"/>
      <c r="IN525" s="64"/>
      <c r="IO525" s="64"/>
      <c r="IP525" s="64"/>
      <c r="IQ525" s="64"/>
      <c r="IR525" s="64"/>
      <c r="IS525" s="64"/>
      <c r="IT525" s="64"/>
      <c r="IU525" s="64"/>
      <c r="IV525" s="64"/>
      <c r="IW525" s="64"/>
      <c r="IX525" s="64"/>
      <c r="IY525" s="64"/>
      <c r="IZ525" s="64"/>
      <c r="JA525" s="64"/>
      <c r="JB525" s="64"/>
      <c r="JC525" s="64"/>
      <c r="JD525" s="64"/>
      <c r="JE525" s="64"/>
      <c r="JF525" s="64"/>
      <c r="JG525" s="64"/>
      <c r="JH525" s="64"/>
      <c r="JI525" s="64"/>
    </row>
    <row r="526" spans="1:269" s="920" customFormat="1" x14ac:dyDescent="0.2">
      <c r="A526" s="116"/>
      <c r="B526" s="64"/>
      <c r="C526" s="64"/>
      <c r="D526" s="64"/>
      <c r="E526" s="64"/>
      <c r="F526" s="64"/>
      <c r="G526" s="64"/>
      <c r="H526" s="64"/>
      <c r="I526" s="64"/>
      <c r="J526" s="116"/>
      <c r="K526" s="116"/>
      <c r="L526" s="116"/>
      <c r="M526" s="116"/>
      <c r="N526" s="116"/>
      <c r="O526" s="116"/>
      <c r="P526" s="116"/>
      <c r="Q526" s="102"/>
      <c r="R526" s="102"/>
      <c r="S526" s="102"/>
      <c r="T526" s="102"/>
      <c r="U526" s="913"/>
      <c r="V526" s="114"/>
      <c r="W526" s="805"/>
      <c r="X526" s="805"/>
      <c r="Y526" s="805"/>
      <c r="Z526" s="914"/>
      <c r="AA526" s="102"/>
      <c r="AB526" s="102"/>
      <c r="AC526" s="102"/>
      <c r="AD526" s="102"/>
      <c r="AE526" s="102"/>
      <c r="AF526" s="102"/>
      <c r="AG526" s="102"/>
      <c r="AH526" s="102"/>
      <c r="AI526" s="102"/>
      <c r="AJ526" s="906"/>
      <c r="AK526" s="102"/>
      <c r="AL526" s="915"/>
      <c r="AM526" s="915"/>
      <c r="AN526" s="114"/>
      <c r="AO526" s="64"/>
      <c r="AP526" s="64"/>
      <c r="AQ526" s="64"/>
      <c r="AR526" s="916"/>
      <c r="AS526" s="916"/>
      <c r="AT526" s="916"/>
      <c r="AU526" s="917"/>
      <c r="AV526" s="917"/>
      <c r="AW526" s="917"/>
      <c r="AX526" s="918"/>
      <c r="AY526" s="916"/>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917"/>
      <c r="CA526" s="917"/>
      <c r="CB526" s="64"/>
      <c r="CC526" s="919"/>
      <c r="CD526" s="919"/>
      <c r="CE526" s="64"/>
      <c r="CF526" s="528"/>
      <c r="CG526" s="529"/>
      <c r="CH526" s="64"/>
      <c r="CI526" s="64"/>
      <c r="CJ526" s="64"/>
      <c r="CK526" s="64"/>
      <c r="CL526" s="64"/>
      <c r="CM526" s="64"/>
      <c r="CN526" s="64"/>
      <c r="CO526" s="64"/>
      <c r="CP526" s="64"/>
      <c r="CQ526" s="64"/>
      <c r="CR526" s="64"/>
      <c r="CS526" s="64"/>
      <c r="CT526" s="64"/>
      <c r="CU526" s="64"/>
      <c r="CV526" s="64"/>
      <c r="CW526" s="64"/>
      <c r="CX526" s="64"/>
      <c r="CY526" s="1011"/>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c r="FC526" s="64"/>
      <c r="FD526" s="64"/>
      <c r="FE526" s="64"/>
      <c r="FF526" s="64"/>
      <c r="FG526" s="64"/>
      <c r="FH526" s="64"/>
      <c r="FI526" s="64"/>
      <c r="FJ526" s="64"/>
      <c r="FK526" s="64"/>
      <c r="FL526" s="64"/>
      <c r="FM526" s="64"/>
      <c r="FN526" s="64"/>
      <c r="FO526" s="64"/>
      <c r="FP526" s="64"/>
      <c r="FQ526" s="64"/>
      <c r="FR526" s="64"/>
      <c r="FS526" s="64"/>
      <c r="FT526" s="64"/>
      <c r="FU526" s="64"/>
      <c r="FV526" s="64"/>
      <c r="FW526" s="64"/>
      <c r="FX526" s="64"/>
      <c r="FY526" s="64"/>
      <c r="FZ526" s="64"/>
      <c r="GA526" s="64"/>
      <c r="GB526" s="64"/>
      <c r="GC526" s="64"/>
      <c r="GD526" s="64"/>
      <c r="GE526" s="64"/>
      <c r="GF526" s="64"/>
      <c r="GG526" s="64"/>
      <c r="GH526" s="64"/>
      <c r="GI526" s="64"/>
      <c r="GJ526" s="64"/>
      <c r="GK526" s="64"/>
      <c r="GL526" s="64"/>
      <c r="GM526" s="64"/>
      <c r="GN526" s="64"/>
      <c r="GO526" s="64"/>
      <c r="GP526" s="64"/>
      <c r="GQ526" s="64"/>
      <c r="GR526" s="64"/>
      <c r="GS526" s="64"/>
      <c r="GT526" s="64"/>
      <c r="GU526" s="64"/>
      <c r="GV526" s="64"/>
      <c r="GW526" s="64"/>
      <c r="GX526" s="64"/>
      <c r="GY526" s="64"/>
      <c r="GZ526" s="64"/>
      <c r="HA526" s="64"/>
      <c r="HB526" s="64"/>
      <c r="HC526" s="64"/>
      <c r="HD526" s="64"/>
      <c r="HE526" s="64"/>
      <c r="HF526" s="64"/>
      <c r="HG526" s="64"/>
      <c r="HH526" s="64"/>
      <c r="HI526" s="64"/>
      <c r="HJ526" s="64"/>
      <c r="HK526" s="64"/>
      <c r="HL526" s="64"/>
      <c r="HM526" s="64"/>
      <c r="HN526" s="64"/>
      <c r="HO526" s="64"/>
      <c r="HP526" s="64"/>
      <c r="HQ526" s="64"/>
      <c r="HR526" s="64"/>
      <c r="HS526" s="64"/>
      <c r="HT526" s="64"/>
      <c r="HU526" s="64"/>
      <c r="HV526" s="64"/>
      <c r="HW526" s="64"/>
      <c r="HX526" s="64"/>
      <c r="HY526" s="64"/>
      <c r="HZ526" s="64"/>
      <c r="IA526" s="64"/>
      <c r="IB526" s="64"/>
      <c r="IC526" s="64"/>
      <c r="ID526" s="64"/>
      <c r="IE526" s="64"/>
      <c r="IF526" s="64"/>
      <c r="IG526" s="64"/>
      <c r="IH526" s="64"/>
      <c r="II526" s="64"/>
      <c r="IJ526" s="64"/>
      <c r="IK526" s="64"/>
      <c r="IL526" s="64"/>
      <c r="IM526" s="64"/>
      <c r="IN526" s="64"/>
      <c r="IO526" s="64"/>
      <c r="IP526" s="64"/>
      <c r="IQ526" s="64"/>
      <c r="IR526" s="64"/>
      <c r="IS526" s="64"/>
      <c r="IT526" s="64"/>
      <c r="IU526" s="64"/>
      <c r="IV526" s="64"/>
      <c r="IW526" s="64"/>
      <c r="IX526" s="64"/>
      <c r="IY526" s="64"/>
      <c r="IZ526" s="64"/>
      <c r="JA526" s="64"/>
      <c r="JB526" s="64"/>
      <c r="JC526" s="64"/>
      <c r="JD526" s="64"/>
      <c r="JE526" s="64"/>
      <c r="JF526" s="64"/>
      <c r="JG526" s="64"/>
      <c r="JH526" s="64"/>
      <c r="JI526" s="64"/>
    </row>
    <row r="527" spans="1:269" s="920" customFormat="1" x14ac:dyDescent="0.2">
      <c r="A527" s="116"/>
      <c r="B527" s="64"/>
      <c r="C527" s="64"/>
      <c r="D527" s="64"/>
      <c r="E527" s="64"/>
      <c r="F527" s="64"/>
      <c r="G527" s="64"/>
      <c r="H527" s="64"/>
      <c r="I527" s="64"/>
      <c r="J527" s="116"/>
      <c r="K527" s="116"/>
      <c r="L527" s="116"/>
      <c r="M527" s="116"/>
      <c r="N527" s="116"/>
      <c r="O527" s="116"/>
      <c r="P527" s="116"/>
      <c r="Q527" s="102"/>
      <c r="R527" s="102"/>
      <c r="S527" s="102"/>
      <c r="T527" s="102"/>
      <c r="U527" s="913"/>
      <c r="V527" s="114"/>
      <c r="W527" s="805"/>
      <c r="X527" s="805"/>
      <c r="Y527" s="805"/>
      <c r="Z527" s="914"/>
      <c r="AA527" s="102"/>
      <c r="AB527" s="102"/>
      <c r="AC527" s="102"/>
      <c r="AD527" s="102"/>
      <c r="AE527" s="102"/>
      <c r="AF527" s="102"/>
      <c r="AG527" s="102"/>
      <c r="AH527" s="102"/>
      <c r="AI527" s="102"/>
      <c r="AJ527" s="906"/>
      <c r="AK527" s="102"/>
      <c r="AL527" s="915"/>
      <c r="AM527" s="915"/>
      <c r="AN527" s="114"/>
      <c r="AO527" s="64"/>
      <c r="AP527" s="64"/>
      <c r="AQ527" s="64"/>
      <c r="AR527" s="916"/>
      <c r="AS527" s="916"/>
      <c r="AT527" s="916"/>
      <c r="AU527" s="917"/>
      <c r="AV527" s="917"/>
      <c r="AW527" s="917"/>
      <c r="AX527" s="918"/>
      <c r="AY527" s="916"/>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917"/>
      <c r="CA527" s="917"/>
      <c r="CB527" s="64"/>
      <c r="CC527" s="919"/>
      <c r="CD527" s="919"/>
      <c r="CE527" s="64"/>
      <c r="CF527" s="528"/>
      <c r="CG527" s="529"/>
      <c r="CH527" s="64"/>
      <c r="CI527" s="64"/>
      <c r="CJ527" s="64"/>
      <c r="CK527" s="64"/>
      <c r="CL527" s="64"/>
      <c r="CM527" s="64"/>
      <c r="CN527" s="64"/>
      <c r="CO527" s="64"/>
      <c r="CP527" s="64"/>
      <c r="CQ527" s="64"/>
      <c r="CR527" s="64"/>
      <c r="CS527" s="64"/>
      <c r="CT527" s="64"/>
      <c r="CU527" s="64"/>
      <c r="CV527" s="64"/>
      <c r="CW527" s="64"/>
      <c r="CX527" s="64"/>
      <c r="CY527" s="1011"/>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c r="FC527" s="64"/>
      <c r="FD527" s="64"/>
      <c r="FE527" s="64"/>
      <c r="FF527" s="64"/>
      <c r="FG527" s="64"/>
      <c r="FH527" s="64"/>
      <c r="FI527" s="64"/>
      <c r="FJ527" s="64"/>
      <c r="FK527" s="64"/>
      <c r="FL527" s="64"/>
      <c r="FM527" s="64"/>
      <c r="FN527" s="64"/>
      <c r="FO527" s="64"/>
      <c r="FP527" s="64"/>
      <c r="FQ527" s="64"/>
      <c r="FR527" s="64"/>
      <c r="FS527" s="64"/>
      <c r="FT527" s="64"/>
      <c r="FU527" s="64"/>
      <c r="FV527" s="64"/>
      <c r="FW527" s="64"/>
      <c r="FX527" s="64"/>
      <c r="FY527" s="64"/>
      <c r="FZ527" s="64"/>
      <c r="GA527" s="64"/>
      <c r="GB527" s="64"/>
      <c r="GC527" s="64"/>
      <c r="GD527" s="64"/>
      <c r="GE527" s="64"/>
      <c r="GF527" s="64"/>
      <c r="GG527" s="64"/>
      <c r="GH527" s="64"/>
      <c r="GI527" s="64"/>
      <c r="GJ527" s="64"/>
      <c r="GK527" s="64"/>
      <c r="GL527" s="64"/>
      <c r="GM527" s="64"/>
      <c r="GN527" s="64"/>
      <c r="GO527" s="64"/>
      <c r="GP527" s="64"/>
      <c r="GQ527" s="64"/>
      <c r="GR527" s="64"/>
      <c r="GS527" s="64"/>
      <c r="GT527" s="64"/>
      <c r="GU527" s="64"/>
      <c r="GV527" s="64"/>
      <c r="GW527" s="64"/>
      <c r="GX527" s="64"/>
      <c r="GY527" s="64"/>
      <c r="GZ527" s="64"/>
      <c r="HA527" s="64"/>
      <c r="HB527" s="64"/>
      <c r="HC527" s="64"/>
      <c r="HD527" s="64"/>
      <c r="HE527" s="64"/>
      <c r="HF527" s="64"/>
      <c r="HG527" s="64"/>
      <c r="HH527" s="64"/>
      <c r="HI527" s="64"/>
      <c r="HJ527" s="64"/>
      <c r="HK527" s="64"/>
      <c r="HL527" s="64"/>
      <c r="HM527" s="64"/>
      <c r="HN527" s="64"/>
      <c r="HO527" s="64"/>
      <c r="HP527" s="64"/>
      <c r="HQ527" s="64"/>
      <c r="HR527" s="64"/>
      <c r="HS527" s="64"/>
      <c r="HT527" s="64"/>
      <c r="HU527" s="64"/>
      <c r="HV527" s="64"/>
      <c r="HW527" s="64"/>
      <c r="HX527" s="64"/>
      <c r="HY527" s="64"/>
      <c r="HZ527" s="64"/>
      <c r="IA527" s="64"/>
      <c r="IB527" s="64"/>
      <c r="IC527" s="64"/>
      <c r="ID527" s="64"/>
      <c r="IE527" s="64"/>
      <c r="IF527" s="64"/>
      <c r="IG527" s="64"/>
      <c r="IH527" s="64"/>
      <c r="II527" s="64"/>
      <c r="IJ527" s="64"/>
      <c r="IK527" s="64"/>
      <c r="IL527" s="64"/>
      <c r="IM527" s="64"/>
      <c r="IN527" s="64"/>
      <c r="IO527" s="64"/>
      <c r="IP527" s="64"/>
      <c r="IQ527" s="64"/>
      <c r="IR527" s="64"/>
      <c r="IS527" s="64"/>
      <c r="IT527" s="64"/>
      <c r="IU527" s="64"/>
      <c r="IV527" s="64"/>
      <c r="IW527" s="64"/>
      <c r="IX527" s="64"/>
      <c r="IY527" s="64"/>
      <c r="IZ527" s="64"/>
      <c r="JA527" s="64"/>
      <c r="JB527" s="64"/>
      <c r="JC527" s="64"/>
      <c r="JD527" s="64"/>
      <c r="JE527" s="64"/>
      <c r="JF527" s="64"/>
      <c r="JG527" s="64"/>
      <c r="JH527" s="64"/>
      <c r="JI527" s="64"/>
    </row>
    <row r="528" spans="1:269" s="920" customFormat="1" x14ac:dyDescent="0.2">
      <c r="A528" s="116"/>
      <c r="B528" s="64"/>
      <c r="C528" s="64"/>
      <c r="D528" s="64"/>
      <c r="E528" s="64"/>
      <c r="F528" s="64"/>
      <c r="G528" s="64"/>
      <c r="H528" s="64"/>
      <c r="I528" s="64"/>
      <c r="J528" s="116"/>
      <c r="K528" s="116"/>
      <c r="L528" s="116"/>
      <c r="M528" s="116"/>
      <c r="N528" s="116"/>
      <c r="O528" s="116"/>
      <c r="P528" s="116"/>
      <c r="Q528" s="102"/>
      <c r="R528" s="102"/>
      <c r="S528" s="102"/>
      <c r="T528" s="102"/>
      <c r="U528" s="913"/>
      <c r="V528" s="114"/>
      <c r="W528" s="805"/>
      <c r="X528" s="805"/>
      <c r="Y528" s="805"/>
      <c r="Z528" s="914"/>
      <c r="AA528" s="102"/>
      <c r="AB528" s="102"/>
      <c r="AC528" s="102"/>
      <c r="AD528" s="102"/>
      <c r="AE528" s="102"/>
      <c r="AF528" s="102"/>
      <c r="AG528" s="102"/>
      <c r="AH528" s="102"/>
      <c r="AI528" s="102"/>
      <c r="AJ528" s="906"/>
      <c r="AK528" s="102"/>
      <c r="AL528" s="915"/>
      <c r="AM528" s="915"/>
      <c r="AN528" s="114"/>
      <c r="AO528" s="64"/>
      <c r="AP528" s="64"/>
      <c r="AQ528" s="64"/>
      <c r="AR528" s="916"/>
      <c r="AS528" s="916"/>
      <c r="AT528" s="916"/>
      <c r="AU528" s="917"/>
      <c r="AV528" s="917"/>
      <c r="AW528" s="917"/>
      <c r="AX528" s="918"/>
      <c r="AY528" s="916"/>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917"/>
      <c r="CA528" s="917"/>
      <c r="CB528" s="64"/>
      <c r="CC528" s="919"/>
      <c r="CD528" s="919"/>
      <c r="CE528" s="64"/>
      <c r="CF528" s="528"/>
      <c r="CG528" s="529"/>
      <c r="CH528" s="64"/>
      <c r="CI528" s="64"/>
      <c r="CJ528" s="64"/>
      <c r="CK528" s="64"/>
      <c r="CL528" s="64"/>
      <c r="CM528" s="64"/>
      <c r="CN528" s="64"/>
      <c r="CO528" s="64"/>
      <c r="CP528" s="64"/>
      <c r="CQ528" s="64"/>
      <c r="CR528" s="64"/>
      <c r="CS528" s="64"/>
      <c r="CT528" s="64"/>
      <c r="CU528" s="64"/>
      <c r="CV528" s="64"/>
      <c r="CW528" s="64"/>
      <c r="CX528" s="64"/>
      <c r="CY528" s="1011"/>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c r="FC528" s="64"/>
      <c r="FD528" s="64"/>
      <c r="FE528" s="64"/>
      <c r="FF528" s="64"/>
      <c r="FG528" s="64"/>
      <c r="FH528" s="64"/>
      <c r="FI528" s="64"/>
      <c r="FJ528" s="64"/>
      <c r="FK528" s="64"/>
      <c r="FL528" s="64"/>
      <c r="FM528" s="64"/>
      <c r="FN528" s="64"/>
      <c r="FO528" s="64"/>
      <c r="FP528" s="64"/>
      <c r="FQ528" s="64"/>
      <c r="FR528" s="64"/>
      <c r="FS528" s="64"/>
      <c r="FT528" s="64"/>
      <c r="FU528" s="64"/>
      <c r="FV528" s="64"/>
      <c r="FW528" s="64"/>
      <c r="FX528" s="64"/>
      <c r="FY528" s="64"/>
      <c r="FZ528" s="64"/>
      <c r="GA528" s="64"/>
      <c r="GB528" s="64"/>
      <c r="GC528" s="64"/>
      <c r="GD528" s="64"/>
      <c r="GE528" s="64"/>
      <c r="GF528" s="64"/>
      <c r="GG528" s="64"/>
      <c r="GH528" s="64"/>
      <c r="GI528" s="64"/>
      <c r="GJ528" s="64"/>
      <c r="GK528" s="64"/>
      <c r="GL528" s="64"/>
      <c r="GM528" s="64"/>
      <c r="GN528" s="64"/>
      <c r="GO528" s="64"/>
      <c r="GP528" s="64"/>
      <c r="GQ528" s="64"/>
      <c r="GR528" s="64"/>
      <c r="GS528" s="64"/>
      <c r="GT528" s="64"/>
      <c r="GU528" s="64"/>
      <c r="GV528" s="64"/>
      <c r="GW528" s="64"/>
      <c r="GX528" s="64"/>
      <c r="GY528" s="64"/>
      <c r="GZ528" s="64"/>
      <c r="HA528" s="64"/>
      <c r="HB528" s="64"/>
      <c r="HC528" s="64"/>
      <c r="HD528" s="64"/>
      <c r="HE528" s="64"/>
      <c r="HF528" s="64"/>
      <c r="HG528" s="64"/>
      <c r="HH528" s="64"/>
      <c r="HI528" s="64"/>
      <c r="HJ528" s="64"/>
      <c r="HK528" s="64"/>
      <c r="HL528" s="64"/>
      <c r="HM528" s="64"/>
      <c r="HN528" s="64"/>
      <c r="HO528" s="64"/>
      <c r="HP528" s="64"/>
      <c r="HQ528" s="64"/>
      <c r="HR528" s="64"/>
      <c r="HS528" s="64"/>
      <c r="HT528" s="64"/>
      <c r="HU528" s="64"/>
      <c r="HV528" s="64"/>
      <c r="HW528" s="64"/>
      <c r="HX528" s="64"/>
      <c r="HY528" s="64"/>
      <c r="HZ528" s="64"/>
      <c r="IA528" s="64"/>
      <c r="IB528" s="64"/>
      <c r="IC528" s="64"/>
      <c r="ID528" s="64"/>
      <c r="IE528" s="64"/>
      <c r="IF528" s="64"/>
      <c r="IG528" s="64"/>
      <c r="IH528" s="64"/>
      <c r="II528" s="64"/>
      <c r="IJ528" s="64"/>
      <c r="IK528" s="64"/>
      <c r="IL528" s="64"/>
      <c r="IM528" s="64"/>
      <c r="IN528" s="64"/>
      <c r="IO528" s="64"/>
      <c r="IP528" s="64"/>
      <c r="IQ528" s="64"/>
      <c r="IR528" s="64"/>
      <c r="IS528" s="64"/>
      <c r="IT528" s="64"/>
      <c r="IU528" s="64"/>
      <c r="IV528" s="64"/>
      <c r="IW528" s="64"/>
      <c r="IX528" s="64"/>
      <c r="IY528" s="64"/>
      <c r="IZ528" s="64"/>
      <c r="JA528" s="64"/>
      <c r="JB528" s="64"/>
      <c r="JC528" s="64"/>
      <c r="JD528" s="64"/>
      <c r="JE528" s="64"/>
      <c r="JF528" s="64"/>
      <c r="JG528" s="64"/>
      <c r="JH528" s="64"/>
      <c r="JI528" s="64"/>
    </row>
    <row r="529" spans="1:269" s="920" customFormat="1" x14ac:dyDescent="0.2">
      <c r="A529" s="116"/>
      <c r="B529" s="64"/>
      <c r="C529" s="64"/>
      <c r="D529" s="64"/>
      <c r="E529" s="64"/>
      <c r="F529" s="64"/>
      <c r="G529" s="64"/>
      <c r="H529" s="64"/>
      <c r="I529" s="64"/>
      <c r="J529" s="116"/>
      <c r="K529" s="116"/>
      <c r="L529" s="116"/>
      <c r="M529" s="116"/>
      <c r="N529" s="116"/>
      <c r="O529" s="116"/>
      <c r="P529" s="116"/>
      <c r="Q529" s="102"/>
      <c r="R529" s="102"/>
      <c r="S529" s="102"/>
      <c r="T529" s="102"/>
      <c r="U529" s="913"/>
      <c r="V529" s="114"/>
      <c r="W529" s="805"/>
      <c r="X529" s="805"/>
      <c r="Y529" s="805"/>
      <c r="Z529" s="914"/>
      <c r="AA529" s="102"/>
      <c r="AB529" s="102"/>
      <c r="AC529" s="102"/>
      <c r="AD529" s="102"/>
      <c r="AE529" s="102"/>
      <c r="AF529" s="102"/>
      <c r="AG529" s="102"/>
      <c r="AH529" s="102"/>
      <c r="AI529" s="102"/>
      <c r="AJ529" s="906"/>
      <c r="AK529" s="102"/>
      <c r="AL529" s="915"/>
      <c r="AM529" s="915"/>
      <c r="AN529" s="114"/>
      <c r="AO529" s="64"/>
      <c r="AP529" s="64"/>
      <c r="AQ529" s="64"/>
      <c r="AR529" s="916"/>
      <c r="AS529" s="916"/>
      <c r="AT529" s="916"/>
      <c r="AU529" s="917"/>
      <c r="AV529" s="917"/>
      <c r="AW529" s="917"/>
      <c r="AX529" s="918"/>
      <c r="AY529" s="916"/>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917"/>
      <c r="CA529" s="917"/>
      <c r="CB529" s="64"/>
      <c r="CC529" s="919"/>
      <c r="CD529" s="919"/>
      <c r="CE529" s="64"/>
      <c r="CF529" s="528"/>
      <c r="CG529" s="529"/>
      <c r="CH529" s="64"/>
      <c r="CI529" s="64"/>
      <c r="CJ529" s="64"/>
      <c r="CK529" s="64"/>
      <c r="CL529" s="64"/>
      <c r="CM529" s="64"/>
      <c r="CN529" s="64"/>
      <c r="CO529" s="64"/>
      <c r="CP529" s="64"/>
      <c r="CQ529" s="64"/>
      <c r="CR529" s="64"/>
      <c r="CS529" s="64"/>
      <c r="CT529" s="64"/>
      <c r="CU529" s="64"/>
      <c r="CV529" s="64"/>
      <c r="CW529" s="64"/>
      <c r="CX529" s="64"/>
      <c r="CY529" s="1011"/>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c r="FC529" s="64"/>
      <c r="FD529" s="64"/>
      <c r="FE529" s="64"/>
      <c r="FF529" s="64"/>
      <c r="FG529" s="64"/>
      <c r="FH529" s="64"/>
      <c r="FI529" s="64"/>
      <c r="FJ529" s="64"/>
      <c r="FK529" s="64"/>
      <c r="FL529" s="64"/>
      <c r="FM529" s="64"/>
      <c r="FN529" s="64"/>
      <c r="FO529" s="64"/>
      <c r="FP529" s="64"/>
      <c r="FQ529" s="64"/>
      <c r="FR529" s="64"/>
      <c r="FS529" s="64"/>
      <c r="FT529" s="64"/>
      <c r="FU529" s="64"/>
      <c r="FV529" s="64"/>
      <c r="FW529" s="64"/>
      <c r="FX529" s="64"/>
      <c r="FY529" s="64"/>
      <c r="FZ529" s="64"/>
      <c r="GA529" s="64"/>
      <c r="GB529" s="64"/>
      <c r="GC529" s="64"/>
      <c r="GD529" s="64"/>
      <c r="GE529" s="64"/>
      <c r="GF529" s="64"/>
      <c r="GG529" s="64"/>
      <c r="GH529" s="64"/>
      <c r="GI529" s="64"/>
      <c r="GJ529" s="64"/>
      <c r="GK529" s="64"/>
      <c r="GL529" s="64"/>
      <c r="GM529" s="64"/>
      <c r="GN529" s="64"/>
      <c r="GO529" s="64"/>
      <c r="GP529" s="64"/>
      <c r="GQ529" s="64"/>
      <c r="GR529" s="64"/>
      <c r="GS529" s="64"/>
      <c r="GT529" s="64"/>
      <c r="GU529" s="64"/>
      <c r="GV529" s="64"/>
      <c r="GW529" s="64"/>
      <c r="GX529" s="64"/>
      <c r="GY529" s="64"/>
      <c r="GZ529" s="64"/>
      <c r="HA529" s="64"/>
      <c r="HB529" s="64"/>
      <c r="HC529" s="64"/>
      <c r="HD529" s="64"/>
      <c r="HE529" s="64"/>
      <c r="HF529" s="64"/>
      <c r="HG529" s="64"/>
      <c r="HH529" s="64"/>
      <c r="HI529" s="64"/>
      <c r="HJ529" s="64"/>
      <c r="HK529" s="64"/>
      <c r="HL529" s="64"/>
      <c r="HM529" s="64"/>
      <c r="HN529" s="64"/>
      <c r="HO529" s="64"/>
      <c r="HP529" s="64"/>
      <c r="HQ529" s="64"/>
      <c r="HR529" s="64"/>
      <c r="HS529" s="64"/>
      <c r="HT529" s="64"/>
      <c r="HU529" s="64"/>
      <c r="HV529" s="64"/>
      <c r="HW529" s="64"/>
      <c r="HX529" s="64"/>
      <c r="HY529" s="64"/>
      <c r="HZ529" s="64"/>
      <c r="IA529" s="64"/>
      <c r="IB529" s="64"/>
      <c r="IC529" s="64"/>
      <c r="ID529" s="64"/>
      <c r="IE529" s="64"/>
      <c r="IF529" s="64"/>
      <c r="IG529" s="64"/>
      <c r="IH529" s="64"/>
      <c r="II529" s="64"/>
      <c r="IJ529" s="64"/>
      <c r="IK529" s="64"/>
      <c r="IL529" s="64"/>
      <c r="IM529" s="64"/>
      <c r="IN529" s="64"/>
      <c r="IO529" s="64"/>
      <c r="IP529" s="64"/>
      <c r="IQ529" s="64"/>
      <c r="IR529" s="64"/>
      <c r="IS529" s="64"/>
      <c r="IT529" s="64"/>
      <c r="IU529" s="64"/>
      <c r="IV529" s="64"/>
      <c r="IW529" s="64"/>
      <c r="IX529" s="64"/>
      <c r="IY529" s="64"/>
      <c r="IZ529" s="64"/>
      <c r="JA529" s="64"/>
      <c r="JB529" s="64"/>
      <c r="JC529" s="64"/>
      <c r="JD529" s="64"/>
      <c r="JE529" s="64"/>
      <c r="JF529" s="64"/>
      <c r="JG529" s="64"/>
      <c r="JH529" s="64"/>
      <c r="JI529" s="64"/>
    </row>
    <row r="530" spans="1:269" s="920" customFormat="1" x14ac:dyDescent="0.2">
      <c r="A530" s="116"/>
      <c r="B530" s="64"/>
      <c r="C530" s="64"/>
      <c r="D530" s="64"/>
      <c r="E530" s="64"/>
      <c r="F530" s="64"/>
      <c r="G530" s="64"/>
      <c r="H530" s="64"/>
      <c r="I530" s="64"/>
      <c r="J530" s="116"/>
      <c r="K530" s="116"/>
      <c r="L530" s="116"/>
      <c r="M530" s="116"/>
      <c r="N530" s="116"/>
      <c r="O530" s="116"/>
      <c r="P530" s="116"/>
      <c r="Q530" s="102"/>
      <c r="R530" s="102"/>
      <c r="S530" s="102"/>
      <c r="T530" s="102"/>
      <c r="U530" s="913"/>
      <c r="V530" s="114"/>
      <c r="W530" s="805"/>
      <c r="X530" s="805"/>
      <c r="Y530" s="805"/>
      <c r="Z530" s="914"/>
      <c r="AA530" s="102"/>
      <c r="AB530" s="102"/>
      <c r="AC530" s="102"/>
      <c r="AD530" s="102"/>
      <c r="AE530" s="102"/>
      <c r="AF530" s="102"/>
      <c r="AG530" s="102"/>
      <c r="AH530" s="102"/>
      <c r="AI530" s="102"/>
      <c r="AJ530" s="906"/>
      <c r="AK530" s="102"/>
      <c r="AL530" s="915"/>
      <c r="AM530" s="915"/>
      <c r="AN530" s="114"/>
      <c r="AO530" s="64"/>
      <c r="AP530" s="64"/>
      <c r="AQ530" s="64"/>
      <c r="AR530" s="916"/>
      <c r="AS530" s="916"/>
      <c r="AT530" s="916"/>
      <c r="AU530" s="917"/>
      <c r="AV530" s="917"/>
      <c r="AW530" s="917"/>
      <c r="AX530" s="918"/>
      <c r="AY530" s="916"/>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917"/>
      <c r="CA530" s="917"/>
      <c r="CB530" s="64"/>
      <c r="CC530" s="919"/>
      <c r="CD530" s="919"/>
      <c r="CE530" s="64"/>
      <c r="CF530" s="528"/>
      <c r="CG530" s="529"/>
      <c r="CH530" s="64"/>
      <c r="CI530" s="64"/>
      <c r="CJ530" s="64"/>
      <c r="CK530" s="64"/>
      <c r="CL530" s="64"/>
      <c r="CM530" s="64"/>
      <c r="CN530" s="64"/>
      <c r="CO530" s="64"/>
      <c r="CP530" s="64"/>
      <c r="CQ530" s="64"/>
      <c r="CR530" s="64"/>
      <c r="CS530" s="64"/>
      <c r="CT530" s="64"/>
      <c r="CU530" s="64"/>
      <c r="CV530" s="64"/>
      <c r="CW530" s="64"/>
      <c r="CX530" s="64"/>
      <c r="CY530" s="1011"/>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c r="FC530" s="64"/>
      <c r="FD530" s="64"/>
      <c r="FE530" s="64"/>
      <c r="FF530" s="64"/>
      <c r="FG530" s="64"/>
      <c r="FH530" s="64"/>
      <c r="FI530" s="64"/>
      <c r="FJ530" s="64"/>
      <c r="FK530" s="64"/>
      <c r="FL530" s="64"/>
      <c r="FM530" s="64"/>
      <c r="FN530" s="64"/>
      <c r="FO530" s="64"/>
      <c r="FP530" s="64"/>
      <c r="FQ530" s="64"/>
      <c r="FR530" s="64"/>
      <c r="FS530" s="64"/>
      <c r="FT530" s="64"/>
      <c r="FU530" s="64"/>
      <c r="FV530" s="64"/>
      <c r="FW530" s="64"/>
      <c r="FX530" s="64"/>
      <c r="FY530" s="64"/>
      <c r="FZ530" s="64"/>
      <c r="GA530" s="64"/>
      <c r="GB530" s="64"/>
      <c r="GC530" s="64"/>
      <c r="GD530" s="64"/>
      <c r="GE530" s="64"/>
      <c r="GF530" s="64"/>
      <c r="GG530" s="64"/>
      <c r="GH530" s="64"/>
      <c r="GI530" s="64"/>
      <c r="GJ530" s="64"/>
      <c r="GK530" s="64"/>
      <c r="GL530" s="64"/>
      <c r="GM530" s="64"/>
      <c r="GN530" s="64"/>
      <c r="GO530" s="64"/>
      <c r="GP530" s="64"/>
      <c r="GQ530" s="64"/>
      <c r="GR530" s="64"/>
      <c r="GS530" s="64"/>
      <c r="GT530" s="64"/>
      <c r="GU530" s="64"/>
      <c r="GV530" s="64"/>
      <c r="GW530" s="64"/>
      <c r="GX530" s="64"/>
      <c r="GY530" s="64"/>
      <c r="GZ530" s="64"/>
      <c r="HA530" s="64"/>
      <c r="HB530" s="64"/>
      <c r="HC530" s="64"/>
      <c r="HD530" s="64"/>
      <c r="HE530" s="64"/>
      <c r="HF530" s="64"/>
      <c r="HG530" s="64"/>
      <c r="HH530" s="64"/>
      <c r="HI530" s="64"/>
      <c r="HJ530" s="64"/>
      <c r="HK530" s="64"/>
      <c r="HL530" s="64"/>
      <c r="HM530" s="64"/>
      <c r="HN530" s="64"/>
      <c r="HO530" s="64"/>
      <c r="HP530" s="64"/>
      <c r="HQ530" s="64"/>
      <c r="HR530" s="64"/>
      <c r="HS530" s="64"/>
      <c r="HT530" s="64"/>
      <c r="HU530" s="64"/>
      <c r="HV530" s="64"/>
      <c r="HW530" s="64"/>
      <c r="HX530" s="64"/>
      <c r="HY530" s="64"/>
      <c r="HZ530" s="64"/>
      <c r="IA530" s="64"/>
      <c r="IB530" s="64"/>
      <c r="IC530" s="64"/>
      <c r="ID530" s="64"/>
      <c r="IE530" s="64"/>
      <c r="IF530" s="64"/>
      <c r="IG530" s="64"/>
      <c r="IH530" s="64"/>
      <c r="II530" s="64"/>
      <c r="IJ530" s="64"/>
      <c r="IK530" s="64"/>
      <c r="IL530" s="64"/>
      <c r="IM530" s="64"/>
      <c r="IN530" s="64"/>
      <c r="IO530" s="64"/>
      <c r="IP530" s="64"/>
      <c r="IQ530" s="64"/>
      <c r="IR530" s="64"/>
      <c r="IS530" s="64"/>
      <c r="IT530" s="64"/>
      <c r="IU530" s="64"/>
      <c r="IV530" s="64"/>
      <c r="IW530" s="64"/>
      <c r="IX530" s="64"/>
      <c r="IY530" s="64"/>
      <c r="IZ530" s="64"/>
      <c r="JA530" s="64"/>
      <c r="JB530" s="64"/>
      <c r="JC530" s="64"/>
      <c r="JD530" s="64"/>
      <c r="JE530" s="64"/>
      <c r="JF530" s="64"/>
      <c r="JG530" s="64"/>
      <c r="JH530" s="64"/>
      <c r="JI530" s="64"/>
    </row>
    <row r="531" spans="1:269" s="920" customFormat="1" x14ac:dyDescent="0.2">
      <c r="A531" s="116"/>
      <c r="B531" s="64"/>
      <c r="C531" s="64"/>
      <c r="D531" s="64"/>
      <c r="E531" s="64"/>
      <c r="F531" s="64"/>
      <c r="G531" s="64"/>
      <c r="H531" s="64"/>
      <c r="I531" s="64"/>
      <c r="J531" s="116"/>
      <c r="K531" s="116"/>
      <c r="L531" s="116"/>
      <c r="M531" s="116"/>
      <c r="N531" s="116"/>
      <c r="O531" s="116"/>
      <c r="P531" s="116"/>
      <c r="Q531" s="102"/>
      <c r="R531" s="102"/>
      <c r="S531" s="102"/>
      <c r="T531" s="102"/>
      <c r="U531" s="913"/>
      <c r="V531" s="114"/>
      <c r="W531" s="805"/>
      <c r="X531" s="805"/>
      <c r="Y531" s="805"/>
      <c r="Z531" s="914"/>
      <c r="AA531" s="102"/>
      <c r="AB531" s="102"/>
      <c r="AC531" s="102"/>
      <c r="AD531" s="102"/>
      <c r="AE531" s="102"/>
      <c r="AF531" s="102"/>
      <c r="AG531" s="102"/>
      <c r="AH531" s="102"/>
      <c r="AI531" s="102"/>
      <c r="AJ531" s="906"/>
      <c r="AK531" s="102"/>
      <c r="AL531" s="915"/>
      <c r="AM531" s="915"/>
      <c r="AN531" s="114"/>
      <c r="AO531" s="64"/>
      <c r="AP531" s="64"/>
      <c r="AQ531" s="64"/>
      <c r="AR531" s="916"/>
      <c r="AS531" s="916"/>
      <c r="AT531" s="916"/>
      <c r="AU531" s="917"/>
      <c r="AV531" s="917"/>
      <c r="AW531" s="917"/>
      <c r="AX531" s="918"/>
      <c r="AY531" s="916"/>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917"/>
      <c r="CA531" s="917"/>
      <c r="CB531" s="64"/>
      <c r="CC531" s="919"/>
      <c r="CD531" s="919"/>
      <c r="CE531" s="64"/>
      <c r="CF531" s="528"/>
      <c r="CG531" s="529"/>
      <c r="CH531" s="64"/>
      <c r="CI531" s="64"/>
      <c r="CJ531" s="64"/>
      <c r="CK531" s="64"/>
      <c r="CL531" s="64"/>
      <c r="CM531" s="64"/>
      <c r="CN531" s="64"/>
      <c r="CO531" s="64"/>
      <c r="CP531" s="64"/>
      <c r="CQ531" s="64"/>
      <c r="CR531" s="64"/>
      <c r="CS531" s="64"/>
      <c r="CT531" s="64"/>
      <c r="CU531" s="64"/>
      <c r="CV531" s="64"/>
      <c r="CW531" s="64"/>
      <c r="CX531" s="64"/>
      <c r="CY531" s="1011"/>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c r="FC531" s="64"/>
      <c r="FD531" s="64"/>
      <c r="FE531" s="64"/>
      <c r="FF531" s="64"/>
      <c r="FG531" s="64"/>
      <c r="FH531" s="64"/>
      <c r="FI531" s="64"/>
      <c r="FJ531" s="64"/>
      <c r="FK531" s="64"/>
      <c r="FL531" s="64"/>
      <c r="FM531" s="64"/>
      <c r="FN531" s="64"/>
      <c r="FO531" s="64"/>
      <c r="FP531" s="64"/>
      <c r="FQ531" s="64"/>
      <c r="FR531" s="64"/>
      <c r="FS531" s="64"/>
      <c r="FT531" s="64"/>
      <c r="FU531" s="64"/>
      <c r="FV531" s="64"/>
      <c r="FW531" s="64"/>
      <c r="FX531" s="64"/>
      <c r="FY531" s="64"/>
      <c r="FZ531" s="64"/>
      <c r="GA531" s="64"/>
      <c r="GB531" s="64"/>
      <c r="GC531" s="64"/>
      <c r="GD531" s="64"/>
      <c r="GE531" s="64"/>
      <c r="GF531" s="64"/>
      <c r="GG531" s="64"/>
      <c r="GH531" s="64"/>
      <c r="GI531" s="64"/>
      <c r="GJ531" s="64"/>
      <c r="GK531" s="64"/>
      <c r="GL531" s="64"/>
      <c r="GM531" s="64"/>
      <c r="GN531" s="64"/>
      <c r="GO531" s="64"/>
      <c r="GP531" s="64"/>
      <c r="GQ531" s="64"/>
      <c r="GR531" s="64"/>
      <c r="GS531" s="64"/>
      <c r="GT531" s="64"/>
      <c r="GU531" s="64"/>
      <c r="GV531" s="64"/>
      <c r="GW531" s="64"/>
      <c r="GX531" s="64"/>
      <c r="GY531" s="64"/>
      <c r="GZ531" s="64"/>
      <c r="HA531" s="64"/>
      <c r="HB531" s="64"/>
      <c r="HC531" s="64"/>
      <c r="HD531" s="64"/>
      <c r="HE531" s="64"/>
      <c r="HF531" s="64"/>
      <c r="HG531" s="64"/>
      <c r="HH531" s="64"/>
      <c r="HI531" s="64"/>
      <c r="HJ531" s="64"/>
      <c r="HK531" s="64"/>
      <c r="HL531" s="64"/>
      <c r="HM531" s="64"/>
      <c r="HN531" s="64"/>
      <c r="HO531" s="64"/>
      <c r="HP531" s="64"/>
      <c r="HQ531" s="64"/>
      <c r="HR531" s="64"/>
      <c r="HS531" s="64"/>
      <c r="HT531" s="64"/>
      <c r="HU531" s="64"/>
      <c r="HV531" s="64"/>
      <c r="HW531" s="64"/>
      <c r="HX531" s="64"/>
      <c r="HY531" s="64"/>
      <c r="HZ531" s="64"/>
      <c r="IA531" s="64"/>
      <c r="IB531" s="64"/>
      <c r="IC531" s="64"/>
      <c r="ID531" s="64"/>
      <c r="IE531" s="64"/>
      <c r="IF531" s="64"/>
      <c r="IG531" s="64"/>
      <c r="IH531" s="64"/>
      <c r="II531" s="64"/>
      <c r="IJ531" s="64"/>
      <c r="IK531" s="64"/>
      <c r="IL531" s="64"/>
      <c r="IM531" s="64"/>
      <c r="IN531" s="64"/>
      <c r="IO531" s="64"/>
      <c r="IP531" s="64"/>
      <c r="IQ531" s="64"/>
      <c r="IR531" s="64"/>
      <c r="IS531" s="64"/>
      <c r="IT531" s="64"/>
      <c r="IU531" s="64"/>
      <c r="IV531" s="64"/>
      <c r="IW531" s="64"/>
      <c r="IX531" s="64"/>
      <c r="IY531" s="64"/>
      <c r="IZ531" s="64"/>
      <c r="JA531" s="64"/>
      <c r="JB531" s="64"/>
      <c r="JC531" s="64"/>
      <c r="JD531" s="64"/>
      <c r="JE531" s="64"/>
      <c r="JF531" s="64"/>
      <c r="JG531" s="64"/>
      <c r="JH531" s="64"/>
      <c r="JI531" s="64"/>
    </row>
    <row r="532" spans="1:269" s="920" customFormat="1" x14ac:dyDescent="0.2">
      <c r="A532" s="116"/>
      <c r="B532" s="64"/>
      <c r="C532" s="64"/>
      <c r="D532" s="64"/>
      <c r="E532" s="64"/>
      <c r="F532" s="64"/>
      <c r="G532" s="64"/>
      <c r="H532" s="64"/>
      <c r="I532" s="64"/>
      <c r="J532" s="116"/>
      <c r="K532" s="116"/>
      <c r="L532" s="116"/>
      <c r="M532" s="116"/>
      <c r="N532" s="116"/>
      <c r="O532" s="116"/>
      <c r="P532" s="116"/>
      <c r="Q532" s="102"/>
      <c r="R532" s="102"/>
      <c r="S532" s="102"/>
      <c r="T532" s="102"/>
      <c r="U532" s="913"/>
      <c r="V532" s="114"/>
      <c r="W532" s="805"/>
      <c r="X532" s="805"/>
      <c r="Y532" s="805"/>
      <c r="Z532" s="914"/>
      <c r="AA532" s="102"/>
      <c r="AB532" s="102"/>
      <c r="AC532" s="102"/>
      <c r="AD532" s="102"/>
      <c r="AE532" s="102"/>
      <c r="AF532" s="102"/>
      <c r="AG532" s="102"/>
      <c r="AH532" s="102"/>
      <c r="AI532" s="102"/>
      <c r="AJ532" s="906"/>
      <c r="AK532" s="102"/>
      <c r="AL532" s="915"/>
      <c r="AM532" s="915"/>
      <c r="AN532" s="114"/>
      <c r="AO532" s="64"/>
      <c r="AP532" s="64"/>
      <c r="AQ532" s="64"/>
      <c r="AR532" s="916"/>
      <c r="AS532" s="916"/>
      <c r="AT532" s="916"/>
      <c r="AU532" s="917"/>
      <c r="AV532" s="917"/>
      <c r="AW532" s="917"/>
      <c r="AX532" s="918"/>
      <c r="AY532" s="916"/>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917"/>
      <c r="CA532" s="917"/>
      <c r="CB532" s="64"/>
      <c r="CC532" s="919"/>
      <c r="CD532" s="919"/>
      <c r="CE532" s="64"/>
      <c r="CF532" s="528"/>
      <c r="CG532" s="529"/>
      <c r="CH532" s="64"/>
      <c r="CI532" s="64"/>
      <c r="CJ532" s="64"/>
      <c r="CK532" s="64"/>
      <c r="CL532" s="64"/>
      <c r="CM532" s="64"/>
      <c r="CN532" s="64"/>
      <c r="CO532" s="64"/>
      <c r="CP532" s="64"/>
      <c r="CQ532" s="64"/>
      <c r="CR532" s="64"/>
      <c r="CS532" s="64"/>
      <c r="CT532" s="64"/>
      <c r="CU532" s="64"/>
      <c r="CV532" s="64"/>
      <c r="CW532" s="64"/>
      <c r="CX532" s="64"/>
      <c r="CY532" s="1011"/>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c r="FC532" s="64"/>
      <c r="FD532" s="64"/>
      <c r="FE532" s="64"/>
      <c r="FF532" s="64"/>
      <c r="FG532" s="64"/>
      <c r="FH532" s="64"/>
      <c r="FI532" s="64"/>
      <c r="FJ532" s="64"/>
      <c r="FK532" s="64"/>
      <c r="FL532" s="64"/>
      <c r="FM532" s="64"/>
      <c r="FN532" s="64"/>
      <c r="FO532" s="64"/>
      <c r="FP532" s="64"/>
      <c r="FQ532" s="64"/>
      <c r="FR532" s="64"/>
      <c r="FS532" s="64"/>
      <c r="FT532" s="64"/>
      <c r="FU532" s="64"/>
      <c r="FV532" s="64"/>
      <c r="FW532" s="64"/>
      <c r="FX532" s="64"/>
      <c r="FY532" s="64"/>
      <c r="FZ532" s="64"/>
      <c r="GA532" s="64"/>
      <c r="GB532" s="64"/>
      <c r="GC532" s="64"/>
      <c r="GD532" s="64"/>
      <c r="GE532" s="64"/>
      <c r="GF532" s="64"/>
      <c r="GG532" s="64"/>
      <c r="GH532" s="64"/>
      <c r="GI532" s="64"/>
      <c r="GJ532" s="64"/>
      <c r="GK532" s="64"/>
      <c r="GL532" s="64"/>
      <c r="GM532" s="64"/>
      <c r="GN532" s="64"/>
      <c r="GO532" s="64"/>
      <c r="GP532" s="64"/>
      <c r="GQ532" s="64"/>
      <c r="GR532" s="64"/>
      <c r="GS532" s="64"/>
      <c r="GT532" s="64"/>
      <c r="GU532" s="64"/>
      <c r="GV532" s="64"/>
      <c r="GW532" s="64"/>
      <c r="GX532" s="64"/>
      <c r="GY532" s="64"/>
      <c r="GZ532" s="64"/>
      <c r="HA532" s="64"/>
      <c r="HB532" s="64"/>
      <c r="HC532" s="64"/>
      <c r="HD532" s="64"/>
      <c r="HE532" s="64"/>
      <c r="HF532" s="64"/>
      <c r="HG532" s="64"/>
      <c r="HH532" s="64"/>
      <c r="HI532" s="64"/>
      <c r="HJ532" s="64"/>
      <c r="HK532" s="64"/>
      <c r="HL532" s="64"/>
      <c r="HM532" s="64"/>
      <c r="HN532" s="64"/>
      <c r="HO532" s="64"/>
      <c r="HP532" s="64"/>
      <c r="HQ532" s="64"/>
      <c r="HR532" s="64"/>
      <c r="HS532" s="64"/>
      <c r="HT532" s="64"/>
      <c r="HU532" s="64"/>
      <c r="HV532" s="64"/>
      <c r="HW532" s="64"/>
      <c r="HX532" s="64"/>
      <c r="HY532" s="64"/>
      <c r="HZ532" s="64"/>
      <c r="IA532" s="64"/>
      <c r="IB532" s="64"/>
      <c r="IC532" s="64"/>
      <c r="ID532" s="64"/>
      <c r="IE532" s="64"/>
      <c r="IF532" s="64"/>
      <c r="IG532" s="64"/>
      <c r="IH532" s="64"/>
      <c r="II532" s="64"/>
      <c r="IJ532" s="64"/>
      <c r="IK532" s="64"/>
      <c r="IL532" s="64"/>
      <c r="IM532" s="64"/>
      <c r="IN532" s="64"/>
      <c r="IO532" s="64"/>
      <c r="IP532" s="64"/>
      <c r="IQ532" s="64"/>
      <c r="IR532" s="64"/>
      <c r="IS532" s="64"/>
      <c r="IT532" s="64"/>
      <c r="IU532" s="64"/>
      <c r="IV532" s="64"/>
      <c r="IW532" s="64"/>
      <c r="IX532" s="64"/>
      <c r="IY532" s="64"/>
      <c r="IZ532" s="64"/>
      <c r="JA532" s="64"/>
      <c r="JB532" s="64"/>
      <c r="JC532" s="64"/>
      <c r="JD532" s="64"/>
      <c r="JE532" s="64"/>
      <c r="JF532" s="64"/>
      <c r="JG532" s="64"/>
      <c r="JH532" s="64"/>
      <c r="JI532" s="64"/>
    </row>
    <row r="533" spans="1:269" s="920" customFormat="1" x14ac:dyDescent="0.2">
      <c r="A533" s="116"/>
      <c r="B533" s="64"/>
      <c r="C533" s="64"/>
      <c r="D533" s="64"/>
      <c r="E533" s="64"/>
      <c r="F533" s="64"/>
      <c r="G533" s="64"/>
      <c r="H533" s="64"/>
      <c r="I533" s="64"/>
      <c r="J533" s="116"/>
      <c r="K533" s="116"/>
      <c r="L533" s="116"/>
      <c r="M533" s="116"/>
      <c r="N533" s="116"/>
      <c r="O533" s="116"/>
      <c r="P533" s="116"/>
      <c r="Q533" s="102"/>
      <c r="R533" s="102"/>
      <c r="S533" s="102"/>
      <c r="T533" s="102"/>
      <c r="U533" s="913"/>
      <c r="V533" s="114"/>
      <c r="W533" s="805"/>
      <c r="X533" s="805"/>
      <c r="Y533" s="805"/>
      <c r="Z533" s="914"/>
      <c r="AA533" s="102"/>
      <c r="AB533" s="102"/>
      <c r="AC533" s="102"/>
      <c r="AD533" s="102"/>
      <c r="AE533" s="102"/>
      <c r="AF533" s="102"/>
      <c r="AG533" s="102"/>
      <c r="AH533" s="102"/>
      <c r="AI533" s="102"/>
      <c r="AJ533" s="906"/>
      <c r="AK533" s="102"/>
      <c r="AL533" s="915"/>
      <c r="AM533" s="915"/>
      <c r="AN533" s="114"/>
      <c r="AO533" s="64"/>
      <c r="AP533" s="64"/>
      <c r="AQ533" s="64"/>
      <c r="AR533" s="916"/>
      <c r="AS533" s="916"/>
      <c r="AT533" s="916"/>
      <c r="AU533" s="917"/>
      <c r="AV533" s="917"/>
      <c r="AW533" s="917"/>
      <c r="AX533" s="918"/>
      <c r="AY533" s="916"/>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917"/>
      <c r="CA533" s="917"/>
      <c r="CB533" s="64"/>
      <c r="CC533" s="919"/>
      <c r="CD533" s="919"/>
      <c r="CE533" s="64"/>
      <c r="CF533" s="528"/>
      <c r="CG533" s="529"/>
      <c r="CH533" s="64"/>
      <c r="CI533" s="64"/>
      <c r="CJ533" s="64"/>
      <c r="CK533" s="64"/>
      <c r="CL533" s="64"/>
      <c r="CM533" s="64"/>
      <c r="CN533" s="64"/>
      <c r="CO533" s="64"/>
      <c r="CP533" s="64"/>
      <c r="CQ533" s="64"/>
      <c r="CR533" s="64"/>
      <c r="CS533" s="64"/>
      <c r="CT533" s="64"/>
      <c r="CU533" s="64"/>
      <c r="CV533" s="64"/>
      <c r="CW533" s="64"/>
      <c r="CX533" s="64"/>
      <c r="CY533" s="1011"/>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c r="FC533" s="64"/>
      <c r="FD533" s="64"/>
      <c r="FE533" s="64"/>
      <c r="FF533" s="64"/>
      <c r="FG533" s="64"/>
      <c r="FH533" s="64"/>
      <c r="FI533" s="64"/>
      <c r="FJ533" s="64"/>
      <c r="FK533" s="64"/>
      <c r="FL533" s="64"/>
      <c r="FM533" s="64"/>
      <c r="FN533" s="64"/>
      <c r="FO533" s="64"/>
      <c r="FP533" s="64"/>
      <c r="FQ533" s="64"/>
      <c r="FR533" s="64"/>
      <c r="FS533" s="64"/>
      <c r="FT533" s="64"/>
      <c r="FU533" s="64"/>
      <c r="FV533" s="64"/>
      <c r="FW533" s="64"/>
      <c r="FX533" s="64"/>
      <c r="FY533" s="64"/>
      <c r="FZ533" s="64"/>
      <c r="GA533" s="64"/>
      <c r="GB533" s="64"/>
      <c r="GC533" s="64"/>
      <c r="GD533" s="64"/>
      <c r="GE533" s="64"/>
      <c r="GF533" s="64"/>
      <c r="GG533" s="64"/>
      <c r="GH533" s="64"/>
      <c r="GI533" s="64"/>
      <c r="GJ533" s="64"/>
      <c r="GK533" s="64"/>
      <c r="GL533" s="64"/>
      <c r="GM533" s="64"/>
      <c r="GN533" s="64"/>
      <c r="GO533" s="64"/>
      <c r="GP533" s="64"/>
      <c r="GQ533" s="64"/>
      <c r="GR533" s="64"/>
      <c r="GS533" s="64"/>
      <c r="GT533" s="64"/>
      <c r="GU533" s="64"/>
      <c r="GV533" s="64"/>
      <c r="GW533" s="64"/>
      <c r="GX533" s="64"/>
      <c r="GY533" s="64"/>
      <c r="GZ533" s="64"/>
      <c r="HA533" s="64"/>
      <c r="HB533" s="64"/>
      <c r="HC533" s="64"/>
      <c r="HD533" s="64"/>
      <c r="HE533" s="64"/>
      <c r="HF533" s="64"/>
      <c r="HG533" s="64"/>
      <c r="HH533" s="64"/>
      <c r="HI533" s="64"/>
      <c r="HJ533" s="64"/>
      <c r="HK533" s="64"/>
      <c r="HL533" s="64"/>
      <c r="HM533" s="64"/>
      <c r="HN533" s="64"/>
      <c r="HO533" s="64"/>
      <c r="HP533" s="64"/>
      <c r="HQ533" s="64"/>
      <c r="HR533" s="64"/>
      <c r="HS533" s="64"/>
      <c r="HT533" s="64"/>
      <c r="HU533" s="64"/>
      <c r="HV533" s="64"/>
      <c r="HW533" s="64"/>
      <c r="HX533" s="64"/>
      <c r="HY533" s="64"/>
      <c r="HZ533" s="64"/>
      <c r="IA533" s="64"/>
      <c r="IB533" s="64"/>
      <c r="IC533" s="64"/>
      <c r="ID533" s="64"/>
      <c r="IE533" s="64"/>
      <c r="IF533" s="64"/>
      <c r="IG533" s="64"/>
      <c r="IH533" s="64"/>
      <c r="II533" s="64"/>
      <c r="IJ533" s="64"/>
      <c r="IK533" s="64"/>
      <c r="IL533" s="64"/>
      <c r="IM533" s="64"/>
      <c r="IN533" s="64"/>
      <c r="IO533" s="64"/>
      <c r="IP533" s="64"/>
      <c r="IQ533" s="64"/>
      <c r="IR533" s="64"/>
      <c r="IS533" s="64"/>
      <c r="IT533" s="64"/>
      <c r="IU533" s="64"/>
      <c r="IV533" s="64"/>
      <c r="IW533" s="64"/>
      <c r="IX533" s="64"/>
      <c r="IY533" s="64"/>
      <c r="IZ533" s="64"/>
      <c r="JA533" s="64"/>
      <c r="JB533" s="64"/>
      <c r="JC533" s="64"/>
      <c r="JD533" s="64"/>
      <c r="JE533" s="64"/>
      <c r="JF533" s="64"/>
      <c r="JG533" s="64"/>
      <c r="JH533" s="64"/>
      <c r="JI533" s="64"/>
    </row>
    <row r="534" spans="1:269" s="920" customFormat="1" x14ac:dyDescent="0.2">
      <c r="A534" s="116"/>
      <c r="B534" s="64"/>
      <c r="C534" s="64"/>
      <c r="D534" s="64"/>
      <c r="E534" s="64"/>
      <c r="F534" s="64"/>
      <c r="G534" s="64"/>
      <c r="H534" s="64"/>
      <c r="I534" s="64"/>
      <c r="J534" s="116"/>
      <c r="K534" s="116"/>
      <c r="L534" s="116"/>
      <c r="M534" s="116"/>
      <c r="N534" s="116"/>
      <c r="O534" s="116"/>
      <c r="P534" s="116"/>
      <c r="Q534" s="102"/>
      <c r="R534" s="102"/>
      <c r="S534" s="102"/>
      <c r="T534" s="102"/>
      <c r="U534" s="913"/>
      <c r="V534" s="114"/>
      <c r="W534" s="805"/>
      <c r="X534" s="805"/>
      <c r="Y534" s="805"/>
      <c r="Z534" s="914"/>
      <c r="AA534" s="102"/>
      <c r="AB534" s="102"/>
      <c r="AC534" s="102"/>
      <c r="AD534" s="102"/>
      <c r="AE534" s="102"/>
      <c r="AF534" s="102"/>
      <c r="AG534" s="102"/>
      <c r="AH534" s="102"/>
      <c r="AI534" s="102"/>
      <c r="AJ534" s="906"/>
      <c r="AK534" s="102"/>
      <c r="AL534" s="915"/>
      <c r="AM534" s="915"/>
      <c r="AN534" s="114"/>
      <c r="AO534" s="64"/>
      <c r="AP534" s="64"/>
      <c r="AQ534" s="64"/>
      <c r="AR534" s="916"/>
      <c r="AS534" s="916"/>
      <c r="AT534" s="916"/>
      <c r="AU534" s="917"/>
      <c r="AV534" s="917"/>
      <c r="AW534" s="917"/>
      <c r="AX534" s="918"/>
      <c r="AY534" s="916"/>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917"/>
      <c r="CA534" s="917"/>
      <c r="CB534" s="64"/>
      <c r="CC534" s="919"/>
      <c r="CD534" s="919"/>
      <c r="CE534" s="64"/>
      <c r="CF534" s="528"/>
      <c r="CG534" s="529"/>
      <c r="CH534" s="64"/>
      <c r="CI534" s="64"/>
      <c r="CJ534" s="64"/>
      <c r="CK534" s="64"/>
      <c r="CL534" s="64"/>
      <c r="CM534" s="64"/>
      <c r="CN534" s="64"/>
      <c r="CO534" s="64"/>
      <c r="CP534" s="64"/>
      <c r="CQ534" s="64"/>
      <c r="CR534" s="64"/>
      <c r="CS534" s="64"/>
      <c r="CT534" s="64"/>
      <c r="CU534" s="64"/>
      <c r="CV534" s="64"/>
      <c r="CW534" s="64"/>
      <c r="CX534" s="64"/>
      <c r="CY534" s="1011"/>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c r="FC534" s="64"/>
      <c r="FD534" s="64"/>
      <c r="FE534" s="64"/>
      <c r="FF534" s="64"/>
      <c r="FG534" s="64"/>
      <c r="FH534" s="64"/>
      <c r="FI534" s="64"/>
      <c r="FJ534" s="64"/>
      <c r="FK534" s="64"/>
      <c r="FL534" s="64"/>
      <c r="FM534" s="64"/>
      <c r="FN534" s="64"/>
      <c r="FO534" s="64"/>
      <c r="FP534" s="64"/>
      <c r="FQ534" s="64"/>
      <c r="FR534" s="64"/>
      <c r="FS534" s="64"/>
      <c r="FT534" s="64"/>
      <c r="FU534" s="64"/>
      <c r="FV534" s="64"/>
      <c r="FW534" s="64"/>
      <c r="FX534" s="64"/>
      <c r="FY534" s="64"/>
      <c r="FZ534" s="64"/>
      <c r="GA534" s="64"/>
      <c r="GB534" s="64"/>
      <c r="GC534" s="64"/>
      <c r="GD534" s="64"/>
      <c r="GE534" s="64"/>
      <c r="GF534" s="64"/>
      <c r="GG534" s="64"/>
      <c r="GH534" s="64"/>
      <c r="GI534" s="64"/>
      <c r="GJ534" s="64"/>
      <c r="GK534" s="64"/>
      <c r="GL534" s="64"/>
      <c r="GM534" s="64"/>
      <c r="GN534" s="64"/>
      <c r="GO534" s="64"/>
      <c r="GP534" s="64"/>
      <c r="GQ534" s="64"/>
      <c r="GR534" s="64"/>
      <c r="GS534" s="64"/>
      <c r="GT534" s="64"/>
      <c r="GU534" s="64"/>
      <c r="GV534" s="64"/>
      <c r="GW534" s="64"/>
      <c r="GX534" s="64"/>
      <c r="GY534" s="64"/>
      <c r="GZ534" s="64"/>
      <c r="HA534" s="64"/>
      <c r="HB534" s="64"/>
      <c r="HC534" s="64"/>
      <c r="HD534" s="64"/>
      <c r="HE534" s="64"/>
      <c r="HF534" s="64"/>
      <c r="HG534" s="64"/>
      <c r="HH534" s="64"/>
      <c r="HI534" s="64"/>
      <c r="HJ534" s="64"/>
      <c r="HK534" s="64"/>
      <c r="HL534" s="64"/>
      <c r="HM534" s="64"/>
      <c r="HN534" s="64"/>
      <c r="HO534" s="64"/>
      <c r="HP534" s="64"/>
      <c r="HQ534" s="64"/>
      <c r="HR534" s="64"/>
      <c r="HS534" s="64"/>
      <c r="HT534" s="64"/>
      <c r="HU534" s="64"/>
      <c r="HV534" s="64"/>
      <c r="HW534" s="64"/>
      <c r="HX534" s="64"/>
      <c r="HY534" s="64"/>
      <c r="HZ534" s="64"/>
      <c r="IA534" s="64"/>
      <c r="IB534" s="64"/>
      <c r="IC534" s="64"/>
      <c r="ID534" s="64"/>
      <c r="IE534" s="64"/>
      <c r="IF534" s="64"/>
      <c r="IG534" s="64"/>
      <c r="IH534" s="64"/>
      <c r="II534" s="64"/>
      <c r="IJ534" s="64"/>
      <c r="IK534" s="64"/>
      <c r="IL534" s="64"/>
      <c r="IM534" s="64"/>
      <c r="IN534" s="64"/>
      <c r="IO534" s="64"/>
      <c r="IP534" s="64"/>
      <c r="IQ534" s="64"/>
      <c r="IR534" s="64"/>
      <c r="IS534" s="64"/>
      <c r="IT534" s="64"/>
      <c r="IU534" s="64"/>
      <c r="IV534" s="64"/>
      <c r="IW534" s="64"/>
      <c r="IX534" s="64"/>
      <c r="IY534" s="64"/>
      <c r="IZ534" s="64"/>
      <c r="JA534" s="64"/>
      <c r="JB534" s="64"/>
      <c r="JC534" s="64"/>
      <c r="JD534" s="64"/>
      <c r="JE534" s="64"/>
      <c r="JF534" s="64"/>
      <c r="JG534" s="64"/>
      <c r="JH534" s="64"/>
      <c r="JI534" s="64"/>
    </row>
    <row r="535" spans="1:269" s="920" customFormat="1" x14ac:dyDescent="0.2">
      <c r="A535" s="116"/>
      <c r="B535" s="64"/>
      <c r="C535" s="64"/>
      <c r="D535" s="64"/>
      <c r="E535" s="64"/>
      <c r="F535" s="64"/>
      <c r="G535" s="64"/>
      <c r="H535" s="64"/>
      <c r="I535" s="64"/>
      <c r="J535" s="116"/>
      <c r="K535" s="116"/>
      <c r="L535" s="116"/>
      <c r="M535" s="116"/>
      <c r="N535" s="116"/>
      <c r="O535" s="116"/>
      <c r="P535" s="116"/>
      <c r="Q535" s="102"/>
      <c r="R535" s="102"/>
      <c r="S535" s="102"/>
      <c r="T535" s="102"/>
      <c r="U535" s="913"/>
      <c r="V535" s="114"/>
      <c r="W535" s="805"/>
      <c r="X535" s="805"/>
      <c r="Y535" s="805"/>
      <c r="Z535" s="914"/>
      <c r="AA535" s="102"/>
      <c r="AB535" s="102"/>
      <c r="AC535" s="102"/>
      <c r="AD535" s="102"/>
      <c r="AE535" s="102"/>
      <c r="AF535" s="102"/>
      <c r="AG535" s="102"/>
      <c r="AH535" s="102"/>
      <c r="AI535" s="102"/>
      <c r="AJ535" s="906"/>
      <c r="AK535" s="102"/>
      <c r="AL535" s="915"/>
      <c r="AM535" s="915"/>
      <c r="AN535" s="114"/>
      <c r="AO535" s="64"/>
      <c r="AP535" s="64"/>
      <c r="AQ535" s="64"/>
      <c r="AR535" s="916"/>
      <c r="AS535" s="916"/>
      <c r="AT535" s="916"/>
      <c r="AU535" s="917"/>
      <c r="AV535" s="917"/>
      <c r="AW535" s="917"/>
      <c r="AX535" s="918"/>
      <c r="AY535" s="916"/>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917"/>
      <c r="CA535" s="917"/>
      <c r="CB535" s="64"/>
      <c r="CC535" s="919"/>
      <c r="CD535" s="919"/>
      <c r="CE535" s="64"/>
      <c r="CF535" s="528"/>
      <c r="CG535" s="529"/>
      <c r="CH535" s="64"/>
      <c r="CI535" s="64"/>
      <c r="CJ535" s="64"/>
      <c r="CK535" s="64"/>
      <c r="CL535" s="64"/>
      <c r="CM535" s="64"/>
      <c r="CN535" s="64"/>
      <c r="CO535" s="64"/>
      <c r="CP535" s="64"/>
      <c r="CQ535" s="64"/>
      <c r="CR535" s="64"/>
      <c r="CS535" s="64"/>
      <c r="CT535" s="64"/>
      <c r="CU535" s="64"/>
      <c r="CV535" s="64"/>
      <c r="CW535" s="64"/>
      <c r="CX535" s="64"/>
      <c r="CY535" s="1011"/>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c r="FC535" s="64"/>
      <c r="FD535" s="64"/>
      <c r="FE535" s="64"/>
      <c r="FF535" s="64"/>
      <c r="FG535" s="64"/>
      <c r="FH535" s="64"/>
      <c r="FI535" s="64"/>
      <c r="FJ535" s="64"/>
      <c r="FK535" s="64"/>
      <c r="FL535" s="64"/>
      <c r="FM535" s="64"/>
      <c r="FN535" s="64"/>
      <c r="FO535" s="64"/>
      <c r="FP535" s="64"/>
      <c r="FQ535" s="64"/>
      <c r="FR535" s="64"/>
      <c r="FS535" s="64"/>
      <c r="FT535" s="64"/>
      <c r="FU535" s="64"/>
      <c r="FV535" s="64"/>
      <c r="FW535" s="64"/>
      <c r="FX535" s="64"/>
      <c r="FY535" s="64"/>
      <c r="FZ535" s="64"/>
      <c r="GA535" s="64"/>
      <c r="GB535" s="64"/>
      <c r="GC535" s="64"/>
      <c r="GD535" s="64"/>
      <c r="GE535" s="64"/>
      <c r="GF535" s="64"/>
      <c r="GG535" s="64"/>
      <c r="GH535" s="64"/>
      <c r="GI535" s="64"/>
      <c r="GJ535" s="64"/>
      <c r="GK535" s="64"/>
      <c r="GL535" s="64"/>
      <c r="GM535" s="64"/>
      <c r="GN535" s="64"/>
      <c r="GO535" s="64"/>
      <c r="GP535" s="64"/>
      <c r="GQ535" s="64"/>
      <c r="GR535" s="64"/>
      <c r="GS535" s="64"/>
      <c r="GT535" s="64"/>
      <c r="GU535" s="64"/>
      <c r="GV535" s="64"/>
      <c r="GW535" s="64"/>
      <c r="GX535" s="64"/>
      <c r="GY535" s="64"/>
      <c r="GZ535" s="64"/>
      <c r="HA535" s="64"/>
      <c r="HB535" s="64"/>
      <c r="HC535" s="64"/>
      <c r="HD535" s="64"/>
      <c r="HE535" s="64"/>
      <c r="HF535" s="64"/>
      <c r="HG535" s="64"/>
      <c r="HH535" s="64"/>
      <c r="HI535" s="64"/>
      <c r="HJ535" s="64"/>
      <c r="HK535" s="64"/>
      <c r="HL535" s="64"/>
      <c r="HM535" s="64"/>
      <c r="HN535" s="64"/>
      <c r="HO535" s="64"/>
      <c r="HP535" s="64"/>
      <c r="HQ535" s="64"/>
      <c r="HR535" s="64"/>
      <c r="HS535" s="64"/>
      <c r="HT535" s="64"/>
      <c r="HU535" s="64"/>
      <c r="HV535" s="64"/>
      <c r="HW535" s="64"/>
      <c r="HX535" s="64"/>
      <c r="HY535" s="64"/>
      <c r="HZ535" s="64"/>
      <c r="IA535" s="64"/>
      <c r="IB535" s="64"/>
      <c r="IC535" s="64"/>
      <c r="ID535" s="64"/>
      <c r="IE535" s="64"/>
      <c r="IF535" s="64"/>
      <c r="IG535" s="64"/>
      <c r="IH535" s="64"/>
      <c r="II535" s="64"/>
      <c r="IJ535" s="64"/>
      <c r="IK535" s="64"/>
      <c r="IL535" s="64"/>
      <c r="IM535" s="64"/>
      <c r="IN535" s="64"/>
      <c r="IO535" s="64"/>
      <c r="IP535" s="64"/>
      <c r="IQ535" s="64"/>
      <c r="IR535" s="64"/>
      <c r="IS535" s="64"/>
      <c r="IT535" s="64"/>
      <c r="IU535" s="64"/>
      <c r="IV535" s="64"/>
      <c r="IW535" s="64"/>
      <c r="IX535" s="64"/>
      <c r="IY535" s="64"/>
      <c r="IZ535" s="64"/>
      <c r="JA535" s="64"/>
      <c r="JB535" s="64"/>
      <c r="JC535" s="64"/>
      <c r="JD535" s="64"/>
      <c r="JE535" s="64"/>
      <c r="JF535" s="64"/>
      <c r="JG535" s="64"/>
      <c r="JH535" s="64"/>
      <c r="JI535" s="64"/>
    </row>
    <row r="536" spans="1:269" s="920" customFormat="1" x14ac:dyDescent="0.2">
      <c r="A536" s="116"/>
      <c r="B536" s="64"/>
      <c r="C536" s="64"/>
      <c r="D536" s="64"/>
      <c r="E536" s="64"/>
      <c r="F536" s="64"/>
      <c r="G536" s="64"/>
      <c r="H536" s="64"/>
      <c r="I536" s="64"/>
      <c r="J536" s="116"/>
      <c r="K536" s="116"/>
      <c r="L536" s="116"/>
      <c r="M536" s="116"/>
      <c r="N536" s="116"/>
      <c r="O536" s="116"/>
      <c r="P536" s="116"/>
      <c r="Q536" s="102"/>
      <c r="R536" s="102"/>
      <c r="S536" s="102"/>
      <c r="T536" s="102"/>
      <c r="U536" s="913"/>
      <c r="V536" s="114"/>
      <c r="W536" s="805"/>
      <c r="X536" s="805"/>
      <c r="Y536" s="805"/>
      <c r="Z536" s="914"/>
      <c r="AA536" s="102"/>
      <c r="AB536" s="102"/>
      <c r="AC536" s="102"/>
      <c r="AD536" s="102"/>
      <c r="AE536" s="102"/>
      <c r="AF536" s="102"/>
      <c r="AG536" s="102"/>
      <c r="AH536" s="102"/>
      <c r="AI536" s="102"/>
      <c r="AJ536" s="906"/>
      <c r="AK536" s="102"/>
      <c r="AL536" s="915"/>
      <c r="AM536" s="915"/>
      <c r="AN536" s="114"/>
      <c r="AO536" s="64"/>
      <c r="AP536" s="64"/>
      <c r="AQ536" s="64"/>
      <c r="AR536" s="916"/>
      <c r="AS536" s="916"/>
      <c r="AT536" s="916"/>
      <c r="AU536" s="917"/>
      <c r="AV536" s="917"/>
      <c r="AW536" s="917"/>
      <c r="AX536" s="918"/>
      <c r="AY536" s="916"/>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917"/>
      <c r="CA536" s="917"/>
      <c r="CB536" s="64"/>
      <c r="CC536" s="919"/>
      <c r="CD536" s="919"/>
      <c r="CE536" s="64"/>
      <c r="CF536" s="528"/>
      <c r="CG536" s="529"/>
      <c r="CH536" s="64"/>
      <c r="CI536" s="64"/>
      <c r="CJ536" s="64"/>
      <c r="CK536" s="64"/>
      <c r="CL536" s="64"/>
      <c r="CM536" s="64"/>
      <c r="CN536" s="64"/>
      <c r="CO536" s="64"/>
      <c r="CP536" s="64"/>
      <c r="CQ536" s="64"/>
      <c r="CR536" s="64"/>
      <c r="CS536" s="64"/>
      <c r="CT536" s="64"/>
      <c r="CU536" s="64"/>
      <c r="CV536" s="64"/>
      <c r="CW536" s="64"/>
      <c r="CX536" s="64"/>
      <c r="CY536" s="1011"/>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c r="FC536" s="64"/>
      <c r="FD536" s="64"/>
      <c r="FE536" s="64"/>
      <c r="FF536" s="64"/>
      <c r="FG536" s="64"/>
      <c r="FH536" s="64"/>
      <c r="FI536" s="64"/>
      <c r="FJ536" s="64"/>
      <c r="FK536" s="64"/>
      <c r="FL536" s="64"/>
      <c r="FM536" s="64"/>
      <c r="FN536" s="64"/>
      <c r="FO536" s="64"/>
      <c r="FP536" s="64"/>
      <c r="FQ536" s="64"/>
      <c r="FR536" s="64"/>
      <c r="FS536" s="64"/>
      <c r="FT536" s="64"/>
      <c r="FU536" s="64"/>
      <c r="FV536" s="64"/>
      <c r="FW536" s="64"/>
      <c r="FX536" s="64"/>
      <c r="FY536" s="64"/>
      <c r="FZ536" s="64"/>
      <c r="GA536" s="64"/>
      <c r="GB536" s="64"/>
      <c r="GC536" s="64"/>
      <c r="GD536" s="64"/>
      <c r="GE536" s="64"/>
      <c r="GF536" s="64"/>
      <c r="GG536" s="64"/>
      <c r="GH536" s="64"/>
      <c r="GI536" s="64"/>
      <c r="GJ536" s="64"/>
      <c r="GK536" s="64"/>
      <c r="GL536" s="64"/>
      <c r="GM536" s="64"/>
      <c r="GN536" s="64"/>
      <c r="GO536" s="64"/>
      <c r="GP536" s="64"/>
      <c r="GQ536" s="64"/>
      <c r="GR536" s="64"/>
      <c r="GS536" s="64"/>
      <c r="GT536" s="64"/>
      <c r="GU536" s="64"/>
      <c r="GV536" s="64"/>
      <c r="GW536" s="64"/>
      <c r="GX536" s="64"/>
      <c r="GY536" s="64"/>
      <c r="GZ536" s="64"/>
      <c r="HA536" s="64"/>
      <c r="HB536" s="64"/>
      <c r="HC536" s="64"/>
      <c r="HD536" s="64"/>
      <c r="HE536" s="64"/>
      <c r="HF536" s="64"/>
      <c r="HG536" s="64"/>
      <c r="HH536" s="64"/>
      <c r="HI536" s="64"/>
      <c r="HJ536" s="64"/>
      <c r="HK536" s="64"/>
      <c r="HL536" s="64"/>
      <c r="HM536" s="64"/>
      <c r="HN536" s="64"/>
      <c r="HO536" s="64"/>
      <c r="HP536" s="64"/>
      <c r="HQ536" s="64"/>
      <c r="HR536" s="64"/>
      <c r="HS536" s="64"/>
      <c r="HT536" s="64"/>
      <c r="HU536" s="64"/>
      <c r="HV536" s="64"/>
      <c r="HW536" s="64"/>
      <c r="HX536" s="64"/>
      <c r="HY536" s="64"/>
      <c r="HZ536" s="64"/>
      <c r="IA536" s="64"/>
      <c r="IB536" s="64"/>
      <c r="IC536" s="64"/>
      <c r="ID536" s="64"/>
      <c r="IE536" s="64"/>
      <c r="IF536" s="64"/>
      <c r="IG536" s="64"/>
      <c r="IH536" s="64"/>
      <c r="II536" s="64"/>
      <c r="IJ536" s="64"/>
      <c r="IK536" s="64"/>
      <c r="IL536" s="64"/>
      <c r="IM536" s="64"/>
      <c r="IN536" s="64"/>
      <c r="IO536" s="64"/>
      <c r="IP536" s="64"/>
      <c r="IQ536" s="64"/>
      <c r="IR536" s="64"/>
      <c r="IS536" s="64"/>
      <c r="IT536" s="64"/>
      <c r="IU536" s="64"/>
      <c r="IV536" s="64"/>
      <c r="IW536" s="64"/>
      <c r="IX536" s="64"/>
      <c r="IY536" s="64"/>
      <c r="IZ536" s="64"/>
      <c r="JA536" s="64"/>
      <c r="JB536" s="64"/>
      <c r="JC536" s="64"/>
      <c r="JD536" s="64"/>
      <c r="JE536" s="64"/>
      <c r="JF536" s="64"/>
      <c r="JG536" s="64"/>
      <c r="JH536" s="64"/>
      <c r="JI536" s="64"/>
    </row>
    <row r="537" spans="1:269" s="920" customFormat="1" x14ac:dyDescent="0.2">
      <c r="A537" s="116"/>
      <c r="B537" s="64"/>
      <c r="C537" s="64"/>
      <c r="D537" s="64"/>
      <c r="E537" s="64"/>
      <c r="F537" s="64"/>
      <c r="G537" s="64"/>
      <c r="H537" s="64"/>
      <c r="I537" s="64"/>
      <c r="J537" s="116"/>
      <c r="K537" s="116"/>
      <c r="L537" s="116"/>
      <c r="M537" s="116"/>
      <c r="N537" s="116"/>
      <c r="O537" s="116"/>
      <c r="P537" s="116"/>
      <c r="Q537" s="102"/>
      <c r="R537" s="102"/>
      <c r="S537" s="102"/>
      <c r="T537" s="102"/>
      <c r="U537" s="913"/>
      <c r="V537" s="114"/>
      <c r="W537" s="805"/>
      <c r="X537" s="805"/>
      <c r="Y537" s="805"/>
      <c r="Z537" s="914"/>
      <c r="AA537" s="102"/>
      <c r="AB537" s="102"/>
      <c r="AC537" s="102"/>
      <c r="AD537" s="102"/>
      <c r="AE537" s="102"/>
      <c r="AF537" s="102"/>
      <c r="AG537" s="102"/>
      <c r="AH537" s="102"/>
      <c r="AI537" s="102"/>
      <c r="AJ537" s="906"/>
      <c r="AK537" s="102"/>
      <c r="AL537" s="915"/>
      <c r="AM537" s="915"/>
      <c r="AN537" s="114"/>
      <c r="AO537" s="64"/>
      <c r="AP537" s="64"/>
      <c r="AQ537" s="64"/>
      <c r="AR537" s="916"/>
      <c r="AS537" s="916"/>
      <c r="AT537" s="916"/>
      <c r="AU537" s="917"/>
      <c r="AV537" s="917"/>
      <c r="AW537" s="917"/>
      <c r="AX537" s="918"/>
      <c r="AY537" s="916"/>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917"/>
      <c r="CA537" s="917"/>
      <c r="CB537" s="64"/>
      <c r="CC537" s="919"/>
      <c r="CD537" s="919"/>
      <c r="CE537" s="64"/>
      <c r="CF537" s="528"/>
      <c r="CG537" s="529"/>
      <c r="CH537" s="64"/>
      <c r="CI537" s="64"/>
      <c r="CJ537" s="64"/>
      <c r="CK537" s="64"/>
      <c r="CL537" s="64"/>
      <c r="CM537" s="64"/>
      <c r="CN537" s="64"/>
      <c r="CO537" s="64"/>
      <c r="CP537" s="64"/>
      <c r="CQ537" s="64"/>
      <c r="CR537" s="64"/>
      <c r="CS537" s="64"/>
      <c r="CT537" s="64"/>
      <c r="CU537" s="64"/>
      <c r="CV537" s="64"/>
      <c r="CW537" s="64"/>
      <c r="CX537" s="64"/>
      <c r="CY537" s="1011"/>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c r="FC537" s="64"/>
      <c r="FD537" s="64"/>
      <c r="FE537" s="64"/>
      <c r="FF537" s="64"/>
      <c r="FG537" s="64"/>
      <c r="FH537" s="64"/>
      <c r="FI537" s="64"/>
      <c r="FJ537" s="64"/>
      <c r="FK537" s="64"/>
      <c r="FL537" s="64"/>
      <c r="FM537" s="64"/>
      <c r="FN537" s="64"/>
      <c r="FO537" s="64"/>
      <c r="FP537" s="64"/>
      <c r="FQ537" s="64"/>
      <c r="FR537" s="64"/>
      <c r="FS537" s="64"/>
      <c r="FT537" s="64"/>
      <c r="FU537" s="64"/>
      <c r="FV537" s="64"/>
      <c r="FW537" s="64"/>
      <c r="FX537" s="64"/>
      <c r="FY537" s="64"/>
      <c r="FZ537" s="64"/>
      <c r="GA537" s="64"/>
      <c r="GB537" s="64"/>
      <c r="GC537" s="64"/>
      <c r="GD537" s="64"/>
      <c r="GE537" s="64"/>
      <c r="GF537" s="64"/>
      <c r="GG537" s="64"/>
      <c r="GH537" s="64"/>
      <c r="GI537" s="64"/>
      <c r="GJ537" s="64"/>
      <c r="GK537" s="64"/>
      <c r="GL537" s="64"/>
      <c r="GM537" s="64"/>
      <c r="GN537" s="64"/>
      <c r="GO537" s="64"/>
      <c r="GP537" s="64"/>
      <c r="GQ537" s="64"/>
      <c r="GR537" s="64"/>
      <c r="GS537" s="64"/>
      <c r="GT537" s="64"/>
      <c r="GU537" s="64"/>
      <c r="GV537" s="64"/>
      <c r="GW537" s="64"/>
      <c r="GX537" s="64"/>
      <c r="GY537" s="64"/>
      <c r="GZ537" s="64"/>
      <c r="HA537" s="64"/>
      <c r="HB537" s="64"/>
      <c r="HC537" s="64"/>
      <c r="HD537" s="64"/>
      <c r="HE537" s="64"/>
      <c r="HF537" s="64"/>
      <c r="HG537" s="64"/>
      <c r="HH537" s="64"/>
      <c r="HI537" s="64"/>
      <c r="HJ537" s="64"/>
      <c r="HK537" s="64"/>
      <c r="HL537" s="64"/>
      <c r="HM537" s="64"/>
      <c r="HN537" s="64"/>
      <c r="HO537" s="64"/>
      <c r="HP537" s="64"/>
      <c r="HQ537" s="64"/>
      <c r="HR537" s="64"/>
      <c r="HS537" s="64"/>
      <c r="HT537" s="64"/>
      <c r="HU537" s="64"/>
      <c r="HV537" s="64"/>
      <c r="HW537" s="64"/>
      <c r="HX537" s="64"/>
      <c r="HY537" s="64"/>
      <c r="HZ537" s="64"/>
      <c r="IA537" s="64"/>
      <c r="IB537" s="64"/>
      <c r="IC537" s="64"/>
      <c r="ID537" s="64"/>
      <c r="IE537" s="64"/>
      <c r="IF537" s="64"/>
      <c r="IG537" s="64"/>
      <c r="IH537" s="64"/>
      <c r="II537" s="64"/>
      <c r="IJ537" s="64"/>
      <c r="IK537" s="64"/>
      <c r="IL537" s="64"/>
      <c r="IM537" s="64"/>
      <c r="IN537" s="64"/>
      <c r="IO537" s="64"/>
      <c r="IP537" s="64"/>
      <c r="IQ537" s="64"/>
      <c r="IR537" s="64"/>
      <c r="IS537" s="64"/>
      <c r="IT537" s="64"/>
      <c r="IU537" s="64"/>
      <c r="IV537" s="64"/>
      <c r="IW537" s="64"/>
      <c r="IX537" s="64"/>
      <c r="IY537" s="64"/>
      <c r="IZ537" s="64"/>
      <c r="JA537" s="64"/>
      <c r="JB537" s="64"/>
      <c r="JC537" s="64"/>
      <c r="JD537" s="64"/>
      <c r="JE537" s="64"/>
      <c r="JF537" s="64"/>
      <c r="JG537" s="64"/>
      <c r="JH537" s="64"/>
      <c r="JI537" s="64"/>
    </row>
    <row r="538" spans="1:269" s="920" customFormat="1" x14ac:dyDescent="0.2">
      <c r="A538" s="116"/>
      <c r="B538" s="64"/>
      <c r="C538" s="64"/>
      <c r="D538" s="64"/>
      <c r="E538" s="64"/>
      <c r="F538" s="64"/>
      <c r="G538" s="64"/>
      <c r="H538" s="64"/>
      <c r="I538" s="64"/>
      <c r="J538" s="116"/>
      <c r="K538" s="116"/>
      <c r="L538" s="116"/>
      <c r="M538" s="116"/>
      <c r="N538" s="116"/>
      <c r="O538" s="116"/>
      <c r="P538" s="116"/>
      <c r="Q538" s="102"/>
      <c r="R538" s="102"/>
      <c r="S538" s="102"/>
      <c r="T538" s="102"/>
      <c r="U538" s="913"/>
      <c r="V538" s="114"/>
      <c r="W538" s="805"/>
      <c r="X538" s="805"/>
      <c r="Y538" s="805"/>
      <c r="Z538" s="914"/>
      <c r="AA538" s="102"/>
      <c r="AB538" s="102"/>
      <c r="AC538" s="102"/>
      <c r="AD538" s="102"/>
      <c r="AE538" s="102"/>
      <c r="AF538" s="102"/>
      <c r="AG538" s="102"/>
      <c r="AH538" s="102"/>
      <c r="AI538" s="102"/>
      <c r="AJ538" s="906"/>
      <c r="AK538" s="102"/>
      <c r="AL538" s="915"/>
      <c r="AM538" s="915"/>
      <c r="AN538" s="114"/>
      <c r="AO538" s="64"/>
      <c r="AP538" s="64"/>
      <c r="AQ538" s="64"/>
      <c r="AR538" s="916"/>
      <c r="AS538" s="916"/>
      <c r="AT538" s="916"/>
      <c r="AU538" s="917"/>
      <c r="AV538" s="917"/>
      <c r="AW538" s="917"/>
      <c r="AX538" s="918"/>
      <c r="AY538" s="916"/>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917"/>
      <c r="CA538" s="917"/>
      <c r="CB538" s="64"/>
      <c r="CC538" s="919"/>
      <c r="CD538" s="919"/>
      <c r="CE538" s="64"/>
      <c r="CF538" s="528"/>
      <c r="CG538" s="529"/>
      <c r="CH538" s="64"/>
      <c r="CI538" s="64"/>
      <c r="CJ538" s="64"/>
      <c r="CK538" s="64"/>
      <c r="CL538" s="64"/>
      <c r="CM538" s="64"/>
      <c r="CN538" s="64"/>
      <c r="CO538" s="64"/>
      <c r="CP538" s="64"/>
      <c r="CQ538" s="64"/>
      <c r="CR538" s="64"/>
      <c r="CS538" s="64"/>
      <c r="CT538" s="64"/>
      <c r="CU538" s="64"/>
      <c r="CV538" s="64"/>
      <c r="CW538" s="64"/>
      <c r="CX538" s="64"/>
      <c r="CY538" s="1011"/>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c r="FC538" s="64"/>
      <c r="FD538" s="64"/>
      <c r="FE538" s="64"/>
      <c r="FF538" s="64"/>
      <c r="FG538" s="64"/>
      <c r="FH538" s="64"/>
      <c r="FI538" s="64"/>
      <c r="FJ538" s="64"/>
      <c r="FK538" s="64"/>
      <c r="FL538" s="64"/>
      <c r="FM538" s="64"/>
      <c r="FN538" s="64"/>
      <c r="FO538" s="64"/>
      <c r="FP538" s="64"/>
      <c r="FQ538" s="64"/>
      <c r="FR538" s="64"/>
      <c r="FS538" s="64"/>
      <c r="FT538" s="64"/>
      <c r="FU538" s="64"/>
      <c r="FV538" s="64"/>
      <c r="FW538" s="64"/>
      <c r="FX538" s="64"/>
      <c r="FY538" s="64"/>
      <c r="FZ538" s="64"/>
      <c r="GA538" s="64"/>
      <c r="GB538" s="64"/>
      <c r="GC538" s="64"/>
      <c r="GD538" s="64"/>
      <c r="GE538" s="64"/>
      <c r="GF538" s="64"/>
      <c r="GG538" s="64"/>
      <c r="GH538" s="64"/>
      <c r="GI538" s="64"/>
      <c r="GJ538" s="64"/>
      <c r="GK538" s="64"/>
      <c r="GL538" s="64"/>
      <c r="GM538" s="64"/>
      <c r="GN538" s="64"/>
      <c r="GO538" s="64"/>
      <c r="GP538" s="64"/>
      <c r="GQ538" s="64"/>
      <c r="GR538" s="64"/>
      <c r="GS538" s="64"/>
      <c r="GT538" s="64"/>
      <c r="GU538" s="64"/>
      <c r="GV538" s="64"/>
      <c r="GW538" s="64"/>
      <c r="GX538" s="64"/>
      <c r="GY538" s="64"/>
      <c r="GZ538" s="64"/>
      <c r="HA538" s="64"/>
      <c r="HB538" s="64"/>
      <c r="HC538" s="64"/>
      <c r="HD538" s="64"/>
      <c r="HE538" s="64"/>
      <c r="HF538" s="64"/>
      <c r="HG538" s="64"/>
      <c r="HH538" s="64"/>
      <c r="HI538" s="64"/>
      <c r="HJ538" s="64"/>
      <c r="HK538" s="64"/>
      <c r="HL538" s="64"/>
      <c r="HM538" s="64"/>
      <c r="HN538" s="64"/>
      <c r="HO538" s="64"/>
      <c r="HP538" s="64"/>
      <c r="HQ538" s="64"/>
      <c r="HR538" s="64"/>
      <c r="HS538" s="64"/>
      <c r="HT538" s="64"/>
      <c r="HU538" s="64"/>
      <c r="HV538" s="64"/>
      <c r="HW538" s="64"/>
      <c r="HX538" s="64"/>
      <c r="HY538" s="64"/>
      <c r="HZ538" s="64"/>
      <c r="IA538" s="64"/>
      <c r="IB538" s="64"/>
      <c r="IC538" s="64"/>
      <c r="ID538" s="64"/>
      <c r="IE538" s="64"/>
      <c r="IF538" s="64"/>
      <c r="IG538" s="64"/>
      <c r="IH538" s="64"/>
      <c r="II538" s="64"/>
      <c r="IJ538" s="64"/>
      <c r="IK538" s="64"/>
      <c r="IL538" s="64"/>
      <c r="IM538" s="64"/>
      <c r="IN538" s="64"/>
      <c r="IO538" s="64"/>
      <c r="IP538" s="64"/>
      <c r="IQ538" s="64"/>
      <c r="IR538" s="64"/>
      <c r="IS538" s="64"/>
      <c r="IT538" s="64"/>
      <c r="IU538" s="64"/>
      <c r="IV538" s="64"/>
      <c r="IW538" s="64"/>
      <c r="IX538" s="64"/>
      <c r="IY538" s="64"/>
      <c r="IZ538" s="64"/>
      <c r="JA538" s="64"/>
      <c r="JB538" s="64"/>
      <c r="JC538" s="64"/>
      <c r="JD538" s="64"/>
      <c r="JE538" s="64"/>
      <c r="JF538" s="64"/>
      <c r="JG538" s="64"/>
      <c r="JH538" s="64"/>
      <c r="JI538" s="64"/>
    </row>
    <row r="539" spans="1:269" s="920" customFormat="1" x14ac:dyDescent="0.2">
      <c r="A539" s="116"/>
      <c r="B539" s="64"/>
      <c r="C539" s="64"/>
      <c r="D539" s="64"/>
      <c r="E539" s="64"/>
      <c r="F539" s="64"/>
      <c r="G539" s="64"/>
      <c r="H539" s="64"/>
      <c r="I539" s="64"/>
      <c r="J539" s="116"/>
      <c r="K539" s="116"/>
      <c r="L539" s="116"/>
      <c r="M539" s="116"/>
      <c r="N539" s="116"/>
      <c r="O539" s="116"/>
      <c r="P539" s="116"/>
      <c r="Q539" s="102"/>
      <c r="R539" s="102"/>
      <c r="S539" s="102"/>
      <c r="T539" s="102"/>
      <c r="U539" s="913"/>
      <c r="V539" s="114"/>
      <c r="W539" s="805"/>
      <c r="X539" s="805"/>
      <c r="Y539" s="805"/>
      <c r="Z539" s="914"/>
      <c r="AA539" s="102"/>
      <c r="AB539" s="102"/>
      <c r="AC539" s="102"/>
      <c r="AD539" s="102"/>
      <c r="AE539" s="102"/>
      <c r="AF539" s="102"/>
      <c r="AG539" s="102"/>
      <c r="AH539" s="102"/>
      <c r="AI539" s="102"/>
      <c r="AJ539" s="906"/>
      <c r="AK539" s="102"/>
      <c r="AL539" s="915"/>
      <c r="AM539" s="915"/>
      <c r="AN539" s="114"/>
      <c r="AO539" s="64"/>
      <c r="AP539" s="64"/>
      <c r="AQ539" s="64"/>
      <c r="AR539" s="916"/>
      <c r="AS539" s="916"/>
      <c r="AT539" s="916"/>
      <c r="AU539" s="917"/>
      <c r="AV539" s="917"/>
      <c r="AW539" s="917"/>
      <c r="AX539" s="918"/>
      <c r="AY539" s="916"/>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917"/>
      <c r="CA539" s="917"/>
      <c r="CB539" s="64"/>
      <c r="CC539" s="919"/>
      <c r="CD539" s="919"/>
      <c r="CE539" s="64"/>
      <c r="CF539" s="528"/>
      <c r="CG539" s="529"/>
      <c r="CH539" s="64"/>
      <c r="CI539" s="64"/>
      <c r="CJ539" s="64"/>
      <c r="CK539" s="64"/>
      <c r="CL539" s="64"/>
      <c r="CM539" s="64"/>
      <c r="CN539" s="64"/>
      <c r="CO539" s="64"/>
      <c r="CP539" s="64"/>
      <c r="CQ539" s="64"/>
      <c r="CR539" s="64"/>
      <c r="CS539" s="64"/>
      <c r="CT539" s="64"/>
      <c r="CU539" s="64"/>
      <c r="CV539" s="64"/>
      <c r="CW539" s="64"/>
      <c r="CX539" s="64"/>
      <c r="CY539" s="1011"/>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c r="FC539" s="64"/>
      <c r="FD539" s="64"/>
      <c r="FE539" s="64"/>
      <c r="FF539" s="64"/>
      <c r="FG539" s="64"/>
      <c r="FH539" s="64"/>
      <c r="FI539" s="64"/>
      <c r="FJ539" s="64"/>
      <c r="FK539" s="64"/>
      <c r="FL539" s="64"/>
      <c r="FM539" s="64"/>
      <c r="FN539" s="64"/>
      <c r="FO539" s="64"/>
      <c r="FP539" s="64"/>
      <c r="FQ539" s="64"/>
      <c r="FR539" s="64"/>
      <c r="FS539" s="64"/>
      <c r="FT539" s="64"/>
      <c r="FU539" s="64"/>
      <c r="FV539" s="64"/>
      <c r="FW539" s="64"/>
      <c r="FX539" s="64"/>
      <c r="FY539" s="64"/>
      <c r="FZ539" s="64"/>
      <c r="GA539" s="64"/>
      <c r="GB539" s="64"/>
      <c r="GC539" s="64"/>
      <c r="GD539" s="64"/>
      <c r="GE539" s="64"/>
      <c r="GF539" s="64"/>
      <c r="GG539" s="64"/>
      <c r="GH539" s="64"/>
      <c r="GI539" s="64"/>
      <c r="GJ539" s="64"/>
      <c r="GK539" s="64"/>
      <c r="GL539" s="64"/>
      <c r="GM539" s="64"/>
      <c r="GN539" s="64"/>
      <c r="GO539" s="64"/>
      <c r="GP539" s="64"/>
      <c r="GQ539" s="64"/>
      <c r="GR539" s="64"/>
      <c r="GS539" s="64"/>
      <c r="GT539" s="64"/>
      <c r="GU539" s="64"/>
      <c r="GV539" s="64"/>
      <c r="GW539" s="64"/>
      <c r="GX539" s="64"/>
      <c r="GY539" s="64"/>
      <c r="GZ539" s="64"/>
      <c r="HA539" s="64"/>
      <c r="HB539" s="64"/>
      <c r="HC539" s="64"/>
      <c r="HD539" s="64"/>
      <c r="HE539" s="64"/>
      <c r="HF539" s="64"/>
      <c r="HG539" s="64"/>
      <c r="HH539" s="64"/>
      <c r="HI539" s="64"/>
      <c r="HJ539" s="64"/>
      <c r="HK539" s="64"/>
      <c r="HL539" s="64"/>
      <c r="HM539" s="64"/>
      <c r="HN539" s="64"/>
      <c r="HO539" s="64"/>
      <c r="HP539" s="64"/>
      <c r="HQ539" s="64"/>
      <c r="HR539" s="64"/>
      <c r="HS539" s="64"/>
      <c r="HT539" s="64"/>
      <c r="HU539" s="64"/>
      <c r="HV539" s="64"/>
      <c r="HW539" s="64"/>
      <c r="HX539" s="64"/>
      <c r="HY539" s="64"/>
      <c r="HZ539" s="64"/>
      <c r="IA539" s="64"/>
      <c r="IB539" s="64"/>
      <c r="IC539" s="64"/>
      <c r="ID539" s="64"/>
      <c r="IE539" s="64"/>
      <c r="IF539" s="64"/>
      <c r="IG539" s="64"/>
      <c r="IH539" s="64"/>
      <c r="II539" s="64"/>
      <c r="IJ539" s="64"/>
      <c r="IK539" s="64"/>
      <c r="IL539" s="64"/>
      <c r="IM539" s="64"/>
      <c r="IN539" s="64"/>
      <c r="IO539" s="64"/>
      <c r="IP539" s="64"/>
      <c r="IQ539" s="64"/>
      <c r="IR539" s="64"/>
      <c r="IS539" s="64"/>
      <c r="IT539" s="64"/>
      <c r="IU539" s="64"/>
      <c r="IV539" s="64"/>
      <c r="IW539" s="64"/>
      <c r="IX539" s="64"/>
      <c r="IY539" s="64"/>
      <c r="IZ539" s="64"/>
      <c r="JA539" s="64"/>
      <c r="JB539" s="64"/>
      <c r="JC539" s="64"/>
      <c r="JD539" s="64"/>
      <c r="JE539" s="64"/>
      <c r="JF539" s="64"/>
      <c r="JG539" s="64"/>
      <c r="JH539" s="64"/>
      <c r="JI539" s="64"/>
    </row>
    <row r="540" spans="1:269" s="920" customFormat="1" x14ac:dyDescent="0.2">
      <c r="A540" s="116"/>
      <c r="B540" s="64"/>
      <c r="C540" s="64"/>
      <c r="D540" s="64"/>
      <c r="E540" s="64"/>
      <c r="F540" s="64"/>
      <c r="G540" s="64"/>
      <c r="H540" s="64"/>
      <c r="I540" s="64"/>
      <c r="J540" s="116"/>
      <c r="K540" s="116"/>
      <c r="L540" s="116"/>
      <c r="M540" s="116"/>
      <c r="N540" s="116"/>
      <c r="O540" s="116"/>
      <c r="P540" s="116"/>
      <c r="Q540" s="102"/>
      <c r="R540" s="102"/>
      <c r="S540" s="102"/>
      <c r="T540" s="102"/>
      <c r="U540" s="913"/>
      <c r="V540" s="114"/>
      <c r="W540" s="805"/>
      <c r="X540" s="805"/>
      <c r="Y540" s="805"/>
      <c r="Z540" s="914"/>
      <c r="AA540" s="102"/>
      <c r="AB540" s="102"/>
      <c r="AC540" s="102"/>
      <c r="AD540" s="102"/>
      <c r="AE540" s="102"/>
      <c r="AF540" s="102"/>
      <c r="AG540" s="102"/>
      <c r="AH540" s="102"/>
      <c r="AI540" s="102"/>
      <c r="AJ540" s="906"/>
      <c r="AK540" s="102"/>
      <c r="AL540" s="915"/>
      <c r="AM540" s="915"/>
      <c r="AN540" s="114"/>
      <c r="AO540" s="64"/>
      <c r="AP540" s="64"/>
      <c r="AQ540" s="64"/>
      <c r="AR540" s="916"/>
      <c r="AS540" s="916"/>
      <c r="AT540" s="916"/>
      <c r="AU540" s="917"/>
      <c r="AV540" s="917"/>
      <c r="AW540" s="917"/>
      <c r="AX540" s="918"/>
      <c r="AY540" s="916"/>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917"/>
      <c r="CA540" s="917"/>
      <c r="CB540" s="64"/>
      <c r="CC540" s="919"/>
      <c r="CD540" s="919"/>
      <c r="CE540" s="64"/>
      <c r="CF540" s="528"/>
      <c r="CG540" s="529"/>
      <c r="CH540" s="64"/>
      <c r="CI540" s="64"/>
      <c r="CJ540" s="64"/>
      <c r="CK540" s="64"/>
      <c r="CL540" s="64"/>
      <c r="CM540" s="64"/>
      <c r="CN540" s="64"/>
      <c r="CO540" s="64"/>
      <c r="CP540" s="64"/>
      <c r="CQ540" s="64"/>
      <c r="CR540" s="64"/>
      <c r="CS540" s="64"/>
      <c r="CT540" s="64"/>
      <c r="CU540" s="64"/>
      <c r="CV540" s="64"/>
      <c r="CW540" s="64"/>
      <c r="CX540" s="64"/>
      <c r="CY540" s="1011"/>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c r="FC540" s="64"/>
      <c r="FD540" s="64"/>
      <c r="FE540" s="64"/>
      <c r="FF540" s="64"/>
      <c r="FG540" s="64"/>
      <c r="FH540" s="64"/>
      <c r="FI540" s="64"/>
      <c r="FJ540" s="64"/>
      <c r="FK540" s="64"/>
      <c r="FL540" s="64"/>
      <c r="FM540" s="64"/>
      <c r="FN540" s="64"/>
      <c r="FO540" s="64"/>
      <c r="FP540" s="64"/>
      <c r="FQ540" s="64"/>
      <c r="FR540" s="64"/>
      <c r="FS540" s="64"/>
      <c r="FT540" s="64"/>
      <c r="FU540" s="64"/>
      <c r="FV540" s="64"/>
      <c r="FW540" s="64"/>
      <c r="FX540" s="64"/>
      <c r="FY540" s="64"/>
      <c r="FZ540" s="64"/>
      <c r="GA540" s="64"/>
      <c r="GB540" s="64"/>
      <c r="GC540" s="64"/>
      <c r="GD540" s="64"/>
      <c r="GE540" s="64"/>
      <c r="GF540" s="64"/>
      <c r="GG540" s="64"/>
      <c r="GH540" s="64"/>
      <c r="GI540" s="64"/>
      <c r="GJ540" s="64"/>
      <c r="GK540" s="64"/>
      <c r="GL540" s="64"/>
      <c r="GM540" s="64"/>
      <c r="GN540" s="64"/>
      <c r="GO540" s="64"/>
      <c r="GP540" s="64"/>
      <c r="GQ540" s="64"/>
      <c r="GR540" s="64"/>
      <c r="GS540" s="64"/>
      <c r="GT540" s="64"/>
      <c r="GU540" s="64"/>
      <c r="GV540" s="64"/>
      <c r="GW540" s="64"/>
      <c r="GX540" s="64"/>
      <c r="GY540" s="64"/>
      <c r="GZ540" s="64"/>
      <c r="HA540" s="64"/>
      <c r="HB540" s="64"/>
      <c r="HC540" s="64"/>
      <c r="HD540" s="64"/>
      <c r="HE540" s="64"/>
      <c r="HF540" s="64"/>
      <c r="HG540" s="64"/>
      <c r="HH540" s="64"/>
      <c r="HI540" s="64"/>
      <c r="HJ540" s="64"/>
      <c r="HK540" s="64"/>
      <c r="HL540" s="64"/>
      <c r="HM540" s="64"/>
      <c r="HN540" s="64"/>
      <c r="HO540" s="64"/>
      <c r="HP540" s="64"/>
      <c r="HQ540" s="64"/>
      <c r="HR540" s="64"/>
      <c r="HS540" s="64"/>
      <c r="HT540" s="64"/>
      <c r="HU540" s="64"/>
      <c r="HV540" s="64"/>
      <c r="HW540" s="64"/>
      <c r="HX540" s="64"/>
      <c r="HY540" s="64"/>
      <c r="HZ540" s="64"/>
      <c r="IA540" s="64"/>
      <c r="IB540" s="64"/>
      <c r="IC540" s="64"/>
      <c r="ID540" s="64"/>
      <c r="IE540" s="64"/>
      <c r="IF540" s="64"/>
      <c r="IG540" s="64"/>
      <c r="IH540" s="64"/>
      <c r="II540" s="64"/>
      <c r="IJ540" s="64"/>
      <c r="IK540" s="64"/>
      <c r="IL540" s="64"/>
      <c r="IM540" s="64"/>
      <c r="IN540" s="64"/>
      <c r="IO540" s="64"/>
      <c r="IP540" s="64"/>
      <c r="IQ540" s="64"/>
      <c r="IR540" s="64"/>
      <c r="IS540" s="64"/>
      <c r="IT540" s="64"/>
      <c r="IU540" s="64"/>
      <c r="IV540" s="64"/>
      <c r="IW540" s="64"/>
      <c r="IX540" s="64"/>
      <c r="IY540" s="64"/>
      <c r="IZ540" s="64"/>
      <c r="JA540" s="64"/>
      <c r="JB540" s="64"/>
      <c r="JC540" s="64"/>
      <c r="JD540" s="64"/>
      <c r="JE540" s="64"/>
      <c r="JF540" s="64"/>
      <c r="JG540" s="64"/>
      <c r="JH540" s="64"/>
      <c r="JI540" s="64"/>
    </row>
    <row r="541" spans="1:269" s="920" customFormat="1" x14ac:dyDescent="0.2">
      <c r="A541" s="116"/>
      <c r="B541" s="64"/>
      <c r="C541" s="64"/>
      <c r="D541" s="64"/>
      <c r="E541" s="64"/>
      <c r="F541" s="64"/>
      <c r="G541" s="64"/>
      <c r="H541" s="64"/>
      <c r="I541" s="64"/>
      <c r="J541" s="116"/>
      <c r="K541" s="116"/>
      <c r="L541" s="116"/>
      <c r="M541" s="116"/>
      <c r="N541" s="116"/>
      <c r="O541" s="116"/>
      <c r="P541" s="116"/>
      <c r="Q541" s="102"/>
      <c r="R541" s="102"/>
      <c r="S541" s="102"/>
      <c r="T541" s="102"/>
      <c r="U541" s="913"/>
      <c r="V541" s="114"/>
      <c r="W541" s="805"/>
      <c r="X541" s="805"/>
      <c r="Y541" s="805"/>
      <c r="Z541" s="914"/>
      <c r="AA541" s="102"/>
      <c r="AB541" s="102"/>
      <c r="AC541" s="102"/>
      <c r="AD541" s="102"/>
      <c r="AE541" s="102"/>
      <c r="AF541" s="102"/>
      <c r="AG541" s="102"/>
      <c r="AH541" s="102"/>
      <c r="AI541" s="102"/>
      <c r="AJ541" s="906"/>
      <c r="AK541" s="102"/>
      <c r="AL541" s="915"/>
      <c r="AM541" s="915"/>
      <c r="AN541" s="114"/>
      <c r="AO541" s="64"/>
      <c r="AP541" s="64"/>
      <c r="AQ541" s="64"/>
      <c r="AR541" s="916"/>
      <c r="AS541" s="916"/>
      <c r="AT541" s="916"/>
      <c r="AU541" s="917"/>
      <c r="AV541" s="917"/>
      <c r="AW541" s="917"/>
      <c r="AX541" s="918"/>
      <c r="AY541" s="916"/>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917"/>
      <c r="CA541" s="917"/>
      <c r="CB541" s="64"/>
      <c r="CC541" s="919"/>
      <c r="CD541" s="919"/>
      <c r="CE541" s="64"/>
      <c r="CF541" s="528"/>
      <c r="CG541" s="529"/>
      <c r="CH541" s="64"/>
      <c r="CI541" s="64"/>
      <c r="CJ541" s="64"/>
      <c r="CK541" s="64"/>
      <c r="CL541" s="64"/>
      <c r="CM541" s="64"/>
      <c r="CN541" s="64"/>
      <c r="CO541" s="64"/>
      <c r="CP541" s="64"/>
      <c r="CQ541" s="64"/>
      <c r="CR541" s="64"/>
      <c r="CS541" s="64"/>
      <c r="CT541" s="64"/>
      <c r="CU541" s="64"/>
      <c r="CV541" s="64"/>
      <c r="CW541" s="64"/>
      <c r="CX541" s="64"/>
      <c r="CY541" s="1011"/>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c r="FC541" s="64"/>
      <c r="FD541" s="64"/>
      <c r="FE541" s="64"/>
      <c r="FF541" s="64"/>
      <c r="FG541" s="64"/>
      <c r="FH541" s="64"/>
      <c r="FI541" s="64"/>
      <c r="FJ541" s="64"/>
      <c r="FK541" s="64"/>
      <c r="FL541" s="64"/>
      <c r="FM541" s="64"/>
      <c r="FN541" s="64"/>
      <c r="FO541" s="64"/>
      <c r="FP541" s="64"/>
      <c r="FQ541" s="64"/>
      <c r="FR541" s="64"/>
      <c r="FS541" s="64"/>
      <c r="FT541" s="64"/>
      <c r="FU541" s="64"/>
      <c r="FV541" s="64"/>
      <c r="FW541" s="64"/>
      <c r="FX541" s="64"/>
      <c r="FY541" s="64"/>
      <c r="FZ541" s="64"/>
      <c r="GA541" s="64"/>
      <c r="GB541" s="64"/>
      <c r="GC541" s="64"/>
      <c r="GD541" s="64"/>
      <c r="GE541" s="64"/>
      <c r="GF541" s="64"/>
      <c r="GG541" s="64"/>
      <c r="GH541" s="64"/>
      <c r="GI541" s="64"/>
      <c r="GJ541" s="64"/>
      <c r="GK541" s="64"/>
      <c r="GL541" s="64"/>
      <c r="GM541" s="64"/>
      <c r="GN541" s="64"/>
      <c r="GO541" s="64"/>
      <c r="GP541" s="64"/>
      <c r="GQ541" s="64"/>
      <c r="GR541" s="64"/>
      <c r="GS541" s="64"/>
      <c r="GT541" s="64"/>
      <c r="GU541" s="64"/>
      <c r="GV541" s="64"/>
      <c r="GW541" s="64"/>
      <c r="GX541" s="64"/>
      <c r="GY541" s="64"/>
      <c r="GZ541" s="64"/>
      <c r="HA541" s="64"/>
      <c r="HB541" s="64"/>
      <c r="HC541" s="64"/>
      <c r="HD541" s="64"/>
      <c r="HE541" s="64"/>
      <c r="HF541" s="64"/>
      <c r="HG541" s="64"/>
      <c r="HH541" s="64"/>
      <c r="HI541" s="64"/>
      <c r="HJ541" s="64"/>
      <c r="HK541" s="64"/>
      <c r="HL541" s="64"/>
      <c r="HM541" s="64"/>
      <c r="HN541" s="64"/>
      <c r="HO541" s="64"/>
      <c r="HP541" s="64"/>
      <c r="HQ541" s="64"/>
      <c r="HR541" s="64"/>
      <c r="HS541" s="64"/>
      <c r="HT541" s="64"/>
      <c r="HU541" s="64"/>
      <c r="HV541" s="64"/>
      <c r="HW541" s="64"/>
      <c r="HX541" s="64"/>
      <c r="HY541" s="64"/>
      <c r="HZ541" s="64"/>
      <c r="IA541" s="64"/>
      <c r="IB541" s="64"/>
      <c r="IC541" s="64"/>
      <c r="ID541" s="64"/>
      <c r="IE541" s="64"/>
      <c r="IF541" s="64"/>
      <c r="IG541" s="64"/>
      <c r="IH541" s="64"/>
      <c r="II541" s="64"/>
      <c r="IJ541" s="64"/>
      <c r="IK541" s="64"/>
      <c r="IL541" s="64"/>
      <c r="IM541" s="64"/>
      <c r="IN541" s="64"/>
      <c r="IO541" s="64"/>
      <c r="IP541" s="64"/>
      <c r="IQ541" s="64"/>
      <c r="IR541" s="64"/>
      <c r="IS541" s="64"/>
      <c r="IT541" s="64"/>
      <c r="IU541" s="64"/>
      <c r="IV541" s="64"/>
      <c r="IW541" s="64"/>
      <c r="IX541" s="64"/>
      <c r="IY541" s="64"/>
      <c r="IZ541" s="64"/>
      <c r="JA541" s="64"/>
      <c r="JB541" s="64"/>
      <c r="JC541" s="64"/>
      <c r="JD541" s="64"/>
      <c r="JE541" s="64"/>
      <c r="JF541" s="64"/>
      <c r="JG541" s="64"/>
      <c r="JH541" s="64"/>
      <c r="JI541" s="64"/>
    </row>
    <row r="542" spans="1:269" s="920" customFormat="1" x14ac:dyDescent="0.2">
      <c r="A542" s="116"/>
      <c r="B542" s="64"/>
      <c r="C542" s="64"/>
      <c r="D542" s="64"/>
      <c r="E542" s="64"/>
      <c r="F542" s="64"/>
      <c r="G542" s="64"/>
      <c r="H542" s="64"/>
      <c r="I542" s="64"/>
      <c r="J542" s="116"/>
      <c r="K542" s="116"/>
      <c r="L542" s="116"/>
      <c r="M542" s="116"/>
      <c r="N542" s="116"/>
      <c r="O542" s="116"/>
      <c r="P542" s="116"/>
      <c r="Q542" s="102"/>
      <c r="R542" s="102"/>
      <c r="S542" s="102"/>
      <c r="T542" s="102"/>
      <c r="U542" s="913"/>
      <c r="V542" s="114"/>
      <c r="W542" s="805"/>
      <c r="X542" s="805"/>
      <c r="Y542" s="805"/>
      <c r="Z542" s="914"/>
      <c r="AA542" s="102"/>
      <c r="AB542" s="102"/>
      <c r="AC542" s="102"/>
      <c r="AD542" s="102"/>
      <c r="AE542" s="102"/>
      <c r="AF542" s="102"/>
      <c r="AG542" s="102"/>
      <c r="AH542" s="102"/>
      <c r="AI542" s="102"/>
      <c r="AJ542" s="906"/>
      <c r="AK542" s="102"/>
      <c r="AL542" s="915"/>
      <c r="AM542" s="915"/>
      <c r="AN542" s="114"/>
      <c r="AO542" s="64"/>
      <c r="AP542" s="64"/>
      <c r="AQ542" s="64"/>
      <c r="AR542" s="916"/>
      <c r="AS542" s="916"/>
      <c r="AT542" s="916"/>
      <c r="AU542" s="917"/>
      <c r="AV542" s="917"/>
      <c r="AW542" s="917"/>
      <c r="AX542" s="918"/>
      <c r="AY542" s="916"/>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917"/>
      <c r="CA542" s="917"/>
      <c r="CB542" s="64"/>
      <c r="CC542" s="919"/>
      <c r="CD542" s="919"/>
      <c r="CE542" s="64"/>
      <c r="CF542" s="528"/>
      <c r="CG542" s="529"/>
      <c r="CH542" s="64"/>
      <c r="CI542" s="64"/>
      <c r="CJ542" s="64"/>
      <c r="CK542" s="64"/>
      <c r="CL542" s="64"/>
      <c r="CM542" s="64"/>
      <c r="CN542" s="64"/>
      <c r="CO542" s="64"/>
      <c r="CP542" s="64"/>
      <c r="CQ542" s="64"/>
      <c r="CR542" s="64"/>
      <c r="CS542" s="64"/>
      <c r="CT542" s="64"/>
      <c r="CU542" s="64"/>
      <c r="CV542" s="64"/>
      <c r="CW542" s="64"/>
      <c r="CX542" s="64"/>
      <c r="CY542" s="1011"/>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c r="FC542" s="64"/>
      <c r="FD542" s="64"/>
      <c r="FE542" s="64"/>
      <c r="FF542" s="64"/>
      <c r="FG542" s="64"/>
      <c r="FH542" s="64"/>
      <c r="FI542" s="64"/>
      <c r="FJ542" s="64"/>
      <c r="FK542" s="64"/>
      <c r="FL542" s="64"/>
      <c r="FM542" s="64"/>
      <c r="FN542" s="64"/>
      <c r="FO542" s="64"/>
      <c r="FP542" s="64"/>
      <c r="FQ542" s="64"/>
      <c r="FR542" s="64"/>
      <c r="FS542" s="64"/>
      <c r="FT542" s="64"/>
      <c r="FU542" s="64"/>
      <c r="FV542" s="64"/>
      <c r="FW542" s="64"/>
      <c r="FX542" s="64"/>
      <c r="FY542" s="64"/>
      <c r="FZ542" s="64"/>
      <c r="GA542" s="64"/>
      <c r="GB542" s="64"/>
      <c r="GC542" s="64"/>
      <c r="GD542" s="64"/>
      <c r="GE542" s="64"/>
      <c r="GF542" s="64"/>
      <c r="GG542" s="64"/>
      <c r="GH542" s="64"/>
      <c r="GI542" s="64"/>
      <c r="GJ542" s="64"/>
      <c r="GK542" s="64"/>
      <c r="GL542" s="64"/>
      <c r="GM542" s="64"/>
      <c r="GN542" s="64"/>
      <c r="GO542" s="64"/>
      <c r="GP542" s="64"/>
      <c r="GQ542" s="64"/>
      <c r="GR542" s="64"/>
      <c r="GS542" s="64"/>
      <c r="GT542" s="64"/>
      <c r="GU542" s="64"/>
      <c r="GV542" s="64"/>
      <c r="GW542" s="64"/>
      <c r="GX542" s="64"/>
      <c r="GY542" s="64"/>
      <c r="GZ542" s="64"/>
      <c r="HA542" s="64"/>
      <c r="HB542" s="64"/>
      <c r="HC542" s="64"/>
      <c r="HD542" s="64"/>
      <c r="HE542" s="64"/>
      <c r="HF542" s="64"/>
      <c r="HG542" s="64"/>
      <c r="HH542" s="64"/>
      <c r="HI542" s="64"/>
      <c r="HJ542" s="64"/>
      <c r="HK542" s="64"/>
      <c r="HL542" s="64"/>
      <c r="HM542" s="64"/>
      <c r="HN542" s="64"/>
      <c r="HO542" s="64"/>
      <c r="HP542" s="64"/>
      <c r="HQ542" s="64"/>
      <c r="HR542" s="64"/>
      <c r="HS542" s="64"/>
      <c r="HT542" s="64"/>
      <c r="HU542" s="64"/>
      <c r="HV542" s="64"/>
      <c r="HW542" s="64"/>
      <c r="HX542" s="64"/>
      <c r="HY542" s="64"/>
      <c r="HZ542" s="64"/>
      <c r="IA542" s="64"/>
      <c r="IB542" s="64"/>
      <c r="IC542" s="64"/>
      <c r="ID542" s="64"/>
      <c r="IE542" s="64"/>
      <c r="IF542" s="64"/>
      <c r="IG542" s="64"/>
      <c r="IH542" s="64"/>
      <c r="II542" s="64"/>
      <c r="IJ542" s="64"/>
      <c r="IK542" s="64"/>
      <c r="IL542" s="64"/>
      <c r="IM542" s="64"/>
      <c r="IN542" s="64"/>
      <c r="IO542" s="64"/>
      <c r="IP542" s="64"/>
      <c r="IQ542" s="64"/>
      <c r="IR542" s="64"/>
      <c r="IS542" s="64"/>
      <c r="IT542" s="64"/>
      <c r="IU542" s="64"/>
      <c r="IV542" s="64"/>
      <c r="IW542" s="64"/>
      <c r="IX542" s="64"/>
      <c r="IY542" s="64"/>
      <c r="IZ542" s="64"/>
      <c r="JA542" s="64"/>
      <c r="JB542" s="64"/>
      <c r="JC542" s="64"/>
      <c r="JD542" s="64"/>
      <c r="JE542" s="64"/>
      <c r="JF542" s="64"/>
      <c r="JG542" s="64"/>
      <c r="JH542" s="64"/>
      <c r="JI542" s="64"/>
    </row>
    <row r="543" spans="1:269" s="920" customFormat="1" x14ac:dyDescent="0.2">
      <c r="A543" s="116"/>
      <c r="B543" s="64"/>
      <c r="C543" s="64"/>
      <c r="D543" s="64"/>
      <c r="E543" s="64"/>
      <c r="F543" s="64"/>
      <c r="G543" s="64"/>
      <c r="H543" s="64"/>
      <c r="I543" s="64"/>
      <c r="J543" s="116"/>
      <c r="K543" s="116"/>
      <c r="L543" s="116"/>
      <c r="M543" s="116"/>
      <c r="N543" s="116"/>
      <c r="O543" s="116"/>
      <c r="P543" s="116"/>
      <c r="Q543" s="102"/>
      <c r="R543" s="102"/>
      <c r="S543" s="102"/>
      <c r="T543" s="102"/>
      <c r="U543" s="913"/>
      <c r="V543" s="114"/>
      <c r="W543" s="805"/>
      <c r="X543" s="805"/>
      <c r="Y543" s="805"/>
      <c r="Z543" s="914"/>
      <c r="AA543" s="102"/>
      <c r="AB543" s="102"/>
      <c r="AC543" s="102"/>
      <c r="AD543" s="102"/>
      <c r="AE543" s="102"/>
      <c r="AF543" s="102"/>
      <c r="AG543" s="102"/>
      <c r="AH543" s="102"/>
      <c r="AI543" s="102"/>
      <c r="AJ543" s="906"/>
      <c r="AK543" s="102"/>
      <c r="AL543" s="915"/>
      <c r="AM543" s="915"/>
      <c r="AN543" s="114"/>
      <c r="AO543" s="64"/>
      <c r="AP543" s="64"/>
      <c r="AQ543" s="64"/>
      <c r="AR543" s="916"/>
      <c r="AS543" s="916"/>
      <c r="AT543" s="916"/>
      <c r="AU543" s="917"/>
      <c r="AV543" s="917"/>
      <c r="AW543" s="917"/>
      <c r="AX543" s="918"/>
      <c r="AY543" s="916"/>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917"/>
      <c r="CA543" s="917"/>
      <c r="CB543" s="64"/>
      <c r="CC543" s="919"/>
      <c r="CD543" s="919"/>
      <c r="CE543" s="64"/>
      <c r="CF543" s="528"/>
      <c r="CG543" s="529"/>
      <c r="CH543" s="64"/>
      <c r="CI543" s="64"/>
      <c r="CJ543" s="64"/>
      <c r="CK543" s="64"/>
      <c r="CL543" s="64"/>
      <c r="CM543" s="64"/>
      <c r="CN543" s="64"/>
      <c r="CO543" s="64"/>
      <c r="CP543" s="64"/>
      <c r="CQ543" s="64"/>
      <c r="CR543" s="64"/>
      <c r="CS543" s="64"/>
      <c r="CT543" s="64"/>
      <c r="CU543" s="64"/>
      <c r="CV543" s="64"/>
      <c r="CW543" s="64"/>
      <c r="CX543" s="64"/>
      <c r="CY543" s="1011"/>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c r="FC543" s="64"/>
      <c r="FD543" s="64"/>
      <c r="FE543" s="64"/>
      <c r="FF543" s="64"/>
      <c r="FG543" s="64"/>
      <c r="FH543" s="64"/>
      <c r="FI543" s="64"/>
      <c r="FJ543" s="64"/>
      <c r="FK543" s="64"/>
      <c r="FL543" s="64"/>
      <c r="FM543" s="64"/>
      <c r="FN543" s="64"/>
      <c r="FO543" s="64"/>
      <c r="FP543" s="64"/>
      <c r="FQ543" s="64"/>
      <c r="FR543" s="64"/>
      <c r="FS543" s="64"/>
      <c r="FT543" s="64"/>
      <c r="FU543" s="64"/>
      <c r="FV543" s="64"/>
      <c r="FW543" s="64"/>
      <c r="FX543" s="64"/>
      <c r="FY543" s="64"/>
      <c r="FZ543" s="64"/>
      <c r="GA543" s="64"/>
      <c r="GB543" s="64"/>
      <c r="GC543" s="64"/>
      <c r="GD543" s="64"/>
      <c r="GE543" s="64"/>
      <c r="GF543" s="64"/>
      <c r="GG543" s="64"/>
      <c r="GH543" s="64"/>
      <c r="GI543" s="64"/>
      <c r="GJ543" s="64"/>
      <c r="GK543" s="64"/>
      <c r="GL543" s="64"/>
      <c r="GM543" s="64"/>
      <c r="GN543" s="64"/>
      <c r="GO543" s="64"/>
      <c r="GP543" s="64"/>
      <c r="GQ543" s="64"/>
      <c r="GR543" s="64"/>
      <c r="GS543" s="64"/>
      <c r="GT543" s="64"/>
      <c r="GU543" s="64"/>
      <c r="GV543" s="64"/>
      <c r="GW543" s="64"/>
      <c r="GX543" s="64"/>
      <c r="GY543" s="64"/>
      <c r="GZ543" s="64"/>
      <c r="HA543" s="64"/>
      <c r="HB543" s="64"/>
      <c r="HC543" s="64"/>
      <c r="HD543" s="64"/>
      <c r="HE543" s="64"/>
      <c r="HF543" s="64"/>
      <c r="HG543" s="64"/>
      <c r="HH543" s="64"/>
      <c r="HI543" s="64"/>
      <c r="HJ543" s="64"/>
      <c r="HK543" s="64"/>
      <c r="HL543" s="64"/>
      <c r="HM543" s="64"/>
      <c r="HN543" s="64"/>
      <c r="HO543" s="64"/>
      <c r="HP543" s="64"/>
      <c r="HQ543" s="64"/>
      <c r="HR543" s="64"/>
      <c r="HS543" s="64"/>
      <c r="HT543" s="64"/>
      <c r="HU543" s="64"/>
      <c r="HV543" s="64"/>
      <c r="HW543" s="64"/>
      <c r="HX543" s="64"/>
      <c r="HY543" s="64"/>
      <c r="HZ543" s="64"/>
      <c r="IA543" s="64"/>
      <c r="IB543" s="64"/>
      <c r="IC543" s="64"/>
      <c r="ID543" s="64"/>
      <c r="IE543" s="64"/>
      <c r="IF543" s="64"/>
      <c r="IG543" s="64"/>
      <c r="IH543" s="64"/>
      <c r="II543" s="64"/>
      <c r="IJ543" s="64"/>
      <c r="IK543" s="64"/>
      <c r="IL543" s="64"/>
      <c r="IM543" s="64"/>
      <c r="IN543" s="64"/>
      <c r="IO543" s="64"/>
      <c r="IP543" s="64"/>
      <c r="IQ543" s="64"/>
      <c r="IR543" s="64"/>
      <c r="IS543" s="64"/>
      <c r="IT543" s="64"/>
      <c r="IU543" s="64"/>
      <c r="IV543" s="64"/>
      <c r="IW543" s="64"/>
      <c r="IX543" s="64"/>
      <c r="IY543" s="64"/>
      <c r="IZ543" s="64"/>
      <c r="JA543" s="64"/>
      <c r="JB543" s="64"/>
      <c r="JC543" s="64"/>
      <c r="JD543" s="64"/>
      <c r="JE543" s="64"/>
      <c r="JF543" s="64"/>
      <c r="JG543" s="64"/>
      <c r="JH543" s="64"/>
      <c r="JI543" s="64"/>
    </row>
    <row r="544" spans="1:269" s="920" customFormat="1" x14ac:dyDescent="0.2">
      <c r="A544" s="116"/>
      <c r="B544" s="64"/>
      <c r="C544" s="64"/>
      <c r="D544" s="64"/>
      <c r="E544" s="64"/>
      <c r="F544" s="64"/>
      <c r="G544" s="64"/>
      <c r="H544" s="64"/>
      <c r="I544" s="64"/>
      <c r="J544" s="116"/>
      <c r="K544" s="116"/>
      <c r="L544" s="116"/>
      <c r="M544" s="116"/>
      <c r="N544" s="116"/>
      <c r="O544" s="116"/>
      <c r="P544" s="116"/>
      <c r="Q544" s="102"/>
      <c r="R544" s="102"/>
      <c r="S544" s="102"/>
      <c r="T544" s="102"/>
      <c r="U544" s="913"/>
      <c r="V544" s="114"/>
      <c r="W544" s="805"/>
      <c r="X544" s="805"/>
      <c r="Y544" s="805"/>
      <c r="Z544" s="914"/>
      <c r="AA544" s="102"/>
      <c r="AB544" s="102"/>
      <c r="AC544" s="102"/>
      <c r="AD544" s="102"/>
      <c r="AE544" s="102"/>
      <c r="AF544" s="102"/>
      <c r="AG544" s="102"/>
      <c r="AH544" s="102"/>
      <c r="AI544" s="102"/>
      <c r="AJ544" s="906"/>
      <c r="AK544" s="102"/>
      <c r="AL544" s="915"/>
      <c r="AM544" s="915"/>
      <c r="AN544" s="114"/>
      <c r="AO544" s="64"/>
      <c r="AP544" s="64"/>
      <c r="AQ544" s="64"/>
      <c r="AR544" s="916"/>
      <c r="AS544" s="916"/>
      <c r="AT544" s="916"/>
      <c r="AU544" s="917"/>
      <c r="AV544" s="917"/>
      <c r="AW544" s="917"/>
      <c r="AX544" s="918"/>
      <c r="AY544" s="916"/>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917"/>
      <c r="CA544" s="917"/>
      <c r="CB544" s="64"/>
      <c r="CC544" s="919"/>
      <c r="CD544" s="919"/>
      <c r="CE544" s="64"/>
      <c r="CF544" s="528"/>
      <c r="CG544" s="529"/>
      <c r="CH544" s="64"/>
      <c r="CI544" s="64"/>
      <c r="CJ544" s="64"/>
      <c r="CK544" s="64"/>
      <c r="CL544" s="64"/>
      <c r="CM544" s="64"/>
      <c r="CN544" s="64"/>
      <c r="CO544" s="64"/>
      <c r="CP544" s="64"/>
      <c r="CQ544" s="64"/>
      <c r="CR544" s="64"/>
      <c r="CS544" s="64"/>
      <c r="CT544" s="64"/>
      <c r="CU544" s="64"/>
      <c r="CV544" s="64"/>
      <c r="CW544" s="64"/>
      <c r="CX544" s="64"/>
      <c r="CY544" s="1011"/>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c r="FC544" s="64"/>
      <c r="FD544" s="64"/>
      <c r="FE544" s="64"/>
      <c r="FF544" s="64"/>
      <c r="FG544" s="64"/>
      <c r="FH544" s="64"/>
      <c r="FI544" s="64"/>
      <c r="FJ544" s="64"/>
      <c r="FK544" s="64"/>
      <c r="FL544" s="64"/>
      <c r="FM544" s="64"/>
      <c r="FN544" s="64"/>
      <c r="FO544" s="64"/>
      <c r="FP544" s="64"/>
      <c r="FQ544" s="64"/>
      <c r="FR544" s="64"/>
      <c r="FS544" s="64"/>
      <c r="FT544" s="64"/>
      <c r="FU544" s="64"/>
      <c r="FV544" s="64"/>
      <c r="FW544" s="64"/>
      <c r="FX544" s="64"/>
      <c r="FY544" s="64"/>
      <c r="FZ544" s="64"/>
      <c r="GA544" s="64"/>
      <c r="GB544" s="64"/>
      <c r="GC544" s="64"/>
      <c r="GD544" s="64"/>
      <c r="GE544" s="64"/>
      <c r="GF544" s="64"/>
      <c r="GG544" s="64"/>
      <c r="GH544" s="64"/>
      <c r="GI544" s="64"/>
      <c r="GJ544" s="64"/>
      <c r="GK544" s="64"/>
      <c r="GL544" s="64"/>
      <c r="GM544" s="64"/>
      <c r="GN544" s="64"/>
      <c r="GO544" s="64"/>
      <c r="GP544" s="64"/>
      <c r="GQ544" s="64"/>
      <c r="GR544" s="64"/>
      <c r="GS544" s="64"/>
      <c r="GT544" s="64"/>
      <c r="GU544" s="64"/>
      <c r="GV544" s="64"/>
      <c r="GW544" s="64"/>
      <c r="GX544" s="64"/>
      <c r="GY544" s="64"/>
      <c r="GZ544" s="64"/>
      <c r="HA544" s="64"/>
      <c r="HB544" s="64"/>
      <c r="HC544" s="64"/>
      <c r="HD544" s="64"/>
      <c r="HE544" s="64"/>
      <c r="HF544" s="64"/>
      <c r="HG544" s="64"/>
      <c r="HH544" s="64"/>
      <c r="HI544" s="64"/>
      <c r="HJ544" s="64"/>
      <c r="HK544" s="64"/>
      <c r="HL544" s="64"/>
      <c r="HM544" s="64"/>
      <c r="HN544" s="64"/>
      <c r="HO544" s="64"/>
      <c r="HP544" s="64"/>
      <c r="HQ544" s="64"/>
      <c r="HR544" s="64"/>
      <c r="HS544" s="64"/>
      <c r="HT544" s="64"/>
      <c r="HU544" s="64"/>
      <c r="HV544" s="64"/>
      <c r="HW544" s="64"/>
      <c r="HX544" s="64"/>
      <c r="HY544" s="64"/>
      <c r="HZ544" s="64"/>
      <c r="IA544" s="64"/>
      <c r="IB544" s="64"/>
      <c r="IC544" s="64"/>
      <c r="ID544" s="64"/>
      <c r="IE544" s="64"/>
      <c r="IF544" s="64"/>
      <c r="IG544" s="64"/>
      <c r="IH544" s="64"/>
      <c r="II544" s="64"/>
      <c r="IJ544" s="64"/>
      <c r="IK544" s="64"/>
      <c r="IL544" s="64"/>
      <c r="IM544" s="64"/>
      <c r="IN544" s="64"/>
      <c r="IO544" s="64"/>
      <c r="IP544" s="64"/>
      <c r="IQ544" s="64"/>
      <c r="IR544" s="64"/>
      <c r="IS544" s="64"/>
      <c r="IT544" s="64"/>
      <c r="IU544" s="64"/>
      <c r="IV544" s="64"/>
      <c r="IW544" s="64"/>
      <c r="IX544" s="64"/>
      <c r="IY544" s="64"/>
      <c r="IZ544" s="64"/>
      <c r="JA544" s="64"/>
      <c r="JB544" s="64"/>
      <c r="JC544" s="64"/>
      <c r="JD544" s="64"/>
      <c r="JE544" s="64"/>
      <c r="JF544" s="64"/>
      <c r="JG544" s="64"/>
      <c r="JH544" s="64"/>
      <c r="JI544" s="64"/>
    </row>
    <row r="545" spans="1:269" s="920" customFormat="1" x14ac:dyDescent="0.2">
      <c r="A545" s="116"/>
      <c r="B545" s="64"/>
      <c r="C545" s="64"/>
      <c r="D545" s="64"/>
      <c r="E545" s="64"/>
      <c r="F545" s="64"/>
      <c r="G545" s="64"/>
      <c r="H545" s="64"/>
      <c r="I545" s="64"/>
      <c r="J545" s="116"/>
      <c r="K545" s="116"/>
      <c r="L545" s="116"/>
      <c r="M545" s="116"/>
      <c r="N545" s="116"/>
      <c r="O545" s="116"/>
      <c r="P545" s="116"/>
      <c r="Q545" s="102"/>
      <c r="R545" s="102"/>
      <c r="S545" s="102"/>
      <c r="T545" s="102"/>
      <c r="U545" s="913"/>
      <c r="V545" s="114"/>
      <c r="W545" s="805"/>
      <c r="X545" s="805"/>
      <c r="Y545" s="805"/>
      <c r="Z545" s="914"/>
      <c r="AA545" s="102"/>
      <c r="AB545" s="102"/>
      <c r="AC545" s="102"/>
      <c r="AD545" s="102"/>
      <c r="AE545" s="102"/>
      <c r="AF545" s="102"/>
      <c r="AG545" s="102"/>
      <c r="AH545" s="102"/>
      <c r="AI545" s="102"/>
      <c r="AJ545" s="906"/>
      <c r="AK545" s="102"/>
      <c r="AL545" s="915"/>
      <c r="AM545" s="915"/>
      <c r="AN545" s="114"/>
      <c r="AO545" s="64"/>
      <c r="AP545" s="64"/>
      <c r="AQ545" s="64"/>
      <c r="AR545" s="916"/>
      <c r="AS545" s="916"/>
      <c r="AT545" s="916"/>
      <c r="AU545" s="917"/>
      <c r="AV545" s="917"/>
      <c r="AW545" s="917"/>
      <c r="AX545" s="918"/>
      <c r="AY545" s="916"/>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917"/>
      <c r="CA545" s="917"/>
      <c r="CB545" s="64"/>
      <c r="CC545" s="919"/>
      <c r="CD545" s="919"/>
      <c r="CE545" s="64"/>
      <c r="CF545" s="528"/>
      <c r="CG545" s="529"/>
      <c r="CH545" s="64"/>
      <c r="CI545" s="64"/>
      <c r="CJ545" s="64"/>
      <c r="CK545" s="64"/>
      <c r="CL545" s="64"/>
      <c r="CM545" s="64"/>
      <c r="CN545" s="64"/>
      <c r="CO545" s="64"/>
      <c r="CP545" s="64"/>
      <c r="CQ545" s="64"/>
      <c r="CR545" s="64"/>
      <c r="CS545" s="64"/>
      <c r="CT545" s="64"/>
      <c r="CU545" s="64"/>
      <c r="CV545" s="64"/>
      <c r="CW545" s="64"/>
      <c r="CX545" s="64"/>
      <c r="CY545" s="1011"/>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c r="FC545" s="64"/>
      <c r="FD545" s="64"/>
      <c r="FE545" s="64"/>
      <c r="FF545" s="64"/>
      <c r="FG545" s="64"/>
      <c r="FH545" s="64"/>
      <c r="FI545" s="64"/>
      <c r="FJ545" s="64"/>
      <c r="FK545" s="64"/>
      <c r="FL545" s="64"/>
      <c r="FM545" s="64"/>
      <c r="FN545" s="64"/>
      <c r="FO545" s="64"/>
      <c r="FP545" s="64"/>
      <c r="FQ545" s="64"/>
      <c r="FR545" s="64"/>
      <c r="FS545" s="64"/>
      <c r="FT545" s="64"/>
      <c r="FU545" s="64"/>
      <c r="FV545" s="64"/>
      <c r="FW545" s="64"/>
      <c r="FX545" s="64"/>
      <c r="FY545" s="64"/>
      <c r="FZ545" s="64"/>
      <c r="GA545" s="64"/>
      <c r="GB545" s="64"/>
      <c r="GC545" s="64"/>
      <c r="GD545" s="64"/>
      <c r="GE545" s="64"/>
      <c r="GF545" s="64"/>
      <c r="GG545" s="64"/>
      <c r="GH545" s="64"/>
      <c r="GI545" s="64"/>
      <c r="GJ545" s="64"/>
      <c r="GK545" s="64"/>
      <c r="GL545" s="64"/>
      <c r="GM545" s="64"/>
      <c r="GN545" s="64"/>
      <c r="GO545" s="64"/>
      <c r="GP545" s="64"/>
      <c r="GQ545" s="64"/>
      <c r="GR545" s="64"/>
      <c r="GS545" s="64"/>
      <c r="GT545" s="64"/>
      <c r="GU545" s="64"/>
      <c r="GV545" s="64"/>
      <c r="GW545" s="64"/>
      <c r="GX545" s="64"/>
      <c r="GY545" s="64"/>
      <c r="GZ545" s="64"/>
      <c r="HA545" s="64"/>
      <c r="HB545" s="64"/>
      <c r="HC545" s="64"/>
      <c r="HD545" s="64"/>
      <c r="HE545" s="64"/>
      <c r="HF545" s="64"/>
      <c r="HG545" s="64"/>
      <c r="HH545" s="64"/>
      <c r="HI545" s="64"/>
      <c r="HJ545" s="64"/>
      <c r="HK545" s="64"/>
      <c r="HL545" s="64"/>
      <c r="HM545" s="64"/>
      <c r="HN545" s="64"/>
      <c r="HO545" s="64"/>
      <c r="HP545" s="64"/>
      <c r="HQ545" s="64"/>
      <c r="HR545" s="64"/>
      <c r="HS545" s="64"/>
      <c r="HT545" s="64"/>
      <c r="HU545" s="64"/>
      <c r="HV545" s="64"/>
      <c r="HW545" s="64"/>
      <c r="HX545" s="64"/>
      <c r="HY545" s="64"/>
      <c r="HZ545" s="64"/>
      <c r="IA545" s="64"/>
      <c r="IB545" s="64"/>
      <c r="IC545" s="64"/>
      <c r="ID545" s="64"/>
      <c r="IE545" s="64"/>
      <c r="IF545" s="64"/>
      <c r="IG545" s="64"/>
      <c r="IH545" s="64"/>
      <c r="II545" s="64"/>
      <c r="IJ545" s="64"/>
      <c r="IK545" s="64"/>
      <c r="IL545" s="64"/>
      <c r="IM545" s="64"/>
      <c r="IN545" s="64"/>
      <c r="IO545" s="64"/>
      <c r="IP545" s="64"/>
      <c r="IQ545" s="64"/>
      <c r="IR545" s="64"/>
      <c r="IS545" s="64"/>
      <c r="IT545" s="64"/>
      <c r="IU545" s="64"/>
      <c r="IV545" s="64"/>
      <c r="IW545" s="64"/>
      <c r="IX545" s="64"/>
      <c r="IY545" s="64"/>
      <c r="IZ545" s="64"/>
      <c r="JA545" s="64"/>
      <c r="JB545" s="64"/>
      <c r="JC545" s="64"/>
      <c r="JD545" s="64"/>
      <c r="JE545" s="64"/>
      <c r="JF545" s="64"/>
      <c r="JG545" s="64"/>
      <c r="JH545" s="64"/>
      <c r="JI545" s="64"/>
    </row>
    <row r="546" spans="1:269" s="920" customFormat="1" x14ac:dyDescent="0.2">
      <c r="A546" s="116"/>
      <c r="B546" s="64"/>
      <c r="C546" s="64"/>
      <c r="D546" s="64"/>
      <c r="E546" s="64"/>
      <c r="F546" s="64"/>
      <c r="G546" s="64"/>
      <c r="H546" s="64"/>
      <c r="I546" s="64"/>
      <c r="J546" s="116"/>
      <c r="K546" s="116"/>
      <c r="L546" s="116"/>
      <c r="M546" s="116"/>
      <c r="N546" s="116"/>
      <c r="O546" s="116"/>
      <c r="P546" s="116"/>
      <c r="Q546" s="102"/>
      <c r="R546" s="102"/>
      <c r="S546" s="102"/>
      <c r="T546" s="102"/>
      <c r="U546" s="913"/>
      <c r="V546" s="114"/>
      <c r="W546" s="805"/>
      <c r="X546" s="805"/>
      <c r="Y546" s="805"/>
      <c r="Z546" s="914"/>
      <c r="AA546" s="102"/>
      <c r="AB546" s="102"/>
      <c r="AC546" s="102"/>
      <c r="AD546" s="102"/>
      <c r="AE546" s="102"/>
      <c r="AF546" s="102"/>
      <c r="AG546" s="102"/>
      <c r="AH546" s="102"/>
      <c r="AI546" s="102"/>
      <c r="AJ546" s="906"/>
      <c r="AK546" s="102"/>
      <c r="AL546" s="915"/>
      <c r="AM546" s="915"/>
      <c r="AN546" s="114"/>
      <c r="AO546" s="64"/>
      <c r="AP546" s="64"/>
      <c r="AQ546" s="64"/>
      <c r="AR546" s="916"/>
      <c r="AS546" s="916"/>
      <c r="AT546" s="916"/>
      <c r="AU546" s="917"/>
      <c r="AV546" s="917"/>
      <c r="AW546" s="917"/>
      <c r="AX546" s="918"/>
      <c r="AY546" s="916"/>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917"/>
      <c r="CA546" s="917"/>
      <c r="CB546" s="64"/>
      <c r="CC546" s="919"/>
      <c r="CD546" s="919"/>
      <c r="CE546" s="64"/>
      <c r="CF546" s="528"/>
      <c r="CG546" s="529"/>
      <c r="CH546" s="64"/>
      <c r="CI546" s="64"/>
      <c r="CJ546" s="64"/>
      <c r="CK546" s="64"/>
      <c r="CL546" s="64"/>
      <c r="CM546" s="64"/>
      <c r="CN546" s="64"/>
      <c r="CO546" s="64"/>
      <c r="CP546" s="64"/>
      <c r="CQ546" s="64"/>
      <c r="CR546" s="64"/>
      <c r="CS546" s="64"/>
      <c r="CT546" s="64"/>
      <c r="CU546" s="64"/>
      <c r="CV546" s="64"/>
      <c r="CW546" s="64"/>
      <c r="CX546" s="64"/>
      <c r="CY546" s="1011"/>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c r="FC546" s="64"/>
      <c r="FD546" s="64"/>
      <c r="FE546" s="64"/>
      <c r="FF546" s="64"/>
      <c r="FG546" s="64"/>
      <c r="FH546" s="64"/>
      <c r="FI546" s="64"/>
      <c r="FJ546" s="64"/>
      <c r="FK546" s="64"/>
      <c r="FL546" s="64"/>
      <c r="FM546" s="64"/>
      <c r="FN546" s="64"/>
      <c r="FO546" s="64"/>
      <c r="FP546" s="64"/>
      <c r="FQ546" s="64"/>
      <c r="FR546" s="64"/>
      <c r="FS546" s="64"/>
      <c r="FT546" s="64"/>
      <c r="FU546" s="64"/>
      <c r="FV546" s="64"/>
      <c r="FW546" s="64"/>
      <c r="FX546" s="64"/>
      <c r="FY546" s="64"/>
      <c r="FZ546" s="64"/>
      <c r="GA546" s="64"/>
      <c r="GB546" s="64"/>
      <c r="GC546" s="64"/>
      <c r="GD546" s="64"/>
      <c r="GE546" s="64"/>
      <c r="GF546" s="64"/>
      <c r="GG546" s="64"/>
      <c r="GH546" s="64"/>
      <c r="GI546" s="64"/>
      <c r="GJ546" s="64"/>
      <c r="GK546" s="64"/>
      <c r="GL546" s="64"/>
      <c r="GM546" s="64"/>
      <c r="GN546" s="64"/>
      <c r="GO546" s="64"/>
      <c r="GP546" s="64"/>
      <c r="GQ546" s="64"/>
      <c r="GR546" s="64"/>
      <c r="GS546" s="64"/>
      <c r="GT546" s="64"/>
      <c r="GU546" s="64"/>
      <c r="GV546" s="64"/>
      <c r="GW546" s="64"/>
      <c r="GX546" s="64"/>
      <c r="GY546" s="64"/>
      <c r="GZ546" s="64"/>
      <c r="HA546" s="64"/>
      <c r="HB546" s="64"/>
      <c r="HC546" s="64"/>
      <c r="HD546" s="64"/>
      <c r="HE546" s="64"/>
      <c r="HF546" s="64"/>
      <c r="HG546" s="64"/>
      <c r="HH546" s="64"/>
      <c r="HI546" s="64"/>
      <c r="HJ546" s="64"/>
      <c r="HK546" s="64"/>
      <c r="HL546" s="64"/>
      <c r="HM546" s="64"/>
      <c r="HN546" s="64"/>
      <c r="HO546" s="64"/>
      <c r="HP546" s="64"/>
      <c r="HQ546" s="64"/>
      <c r="HR546" s="64"/>
      <c r="HS546" s="64"/>
      <c r="HT546" s="64"/>
      <c r="HU546" s="64"/>
      <c r="HV546" s="64"/>
      <c r="HW546" s="64"/>
      <c r="HX546" s="64"/>
      <c r="HY546" s="64"/>
      <c r="HZ546" s="64"/>
      <c r="IA546" s="64"/>
      <c r="IB546" s="64"/>
      <c r="IC546" s="64"/>
      <c r="ID546" s="64"/>
      <c r="IE546" s="64"/>
      <c r="IF546" s="64"/>
      <c r="IG546" s="64"/>
      <c r="IH546" s="64"/>
      <c r="II546" s="64"/>
      <c r="IJ546" s="64"/>
      <c r="IK546" s="64"/>
      <c r="IL546" s="64"/>
      <c r="IM546" s="64"/>
      <c r="IN546" s="64"/>
      <c r="IO546" s="64"/>
      <c r="IP546" s="64"/>
      <c r="IQ546" s="64"/>
      <c r="IR546" s="64"/>
      <c r="IS546" s="64"/>
      <c r="IT546" s="64"/>
      <c r="IU546" s="64"/>
      <c r="IV546" s="64"/>
      <c r="IW546" s="64"/>
      <c r="IX546" s="64"/>
      <c r="IY546" s="64"/>
      <c r="IZ546" s="64"/>
      <c r="JA546" s="64"/>
      <c r="JB546" s="64"/>
      <c r="JC546" s="64"/>
      <c r="JD546" s="64"/>
      <c r="JE546" s="64"/>
      <c r="JF546" s="64"/>
      <c r="JG546" s="64"/>
      <c r="JH546" s="64"/>
      <c r="JI546" s="64"/>
    </row>
    <row r="547" spans="1:269" s="920" customFormat="1" x14ac:dyDescent="0.2">
      <c r="A547" s="116"/>
      <c r="B547" s="64"/>
      <c r="C547" s="64"/>
      <c r="D547" s="64"/>
      <c r="E547" s="64"/>
      <c r="F547" s="64"/>
      <c r="G547" s="64"/>
      <c r="H547" s="64"/>
      <c r="I547" s="64"/>
      <c r="J547" s="116"/>
      <c r="K547" s="116"/>
      <c r="L547" s="116"/>
      <c r="M547" s="116"/>
      <c r="N547" s="116"/>
      <c r="O547" s="116"/>
      <c r="P547" s="116"/>
      <c r="Q547" s="102"/>
      <c r="R547" s="102"/>
      <c r="S547" s="102"/>
      <c r="T547" s="102"/>
      <c r="U547" s="913"/>
      <c r="V547" s="114"/>
      <c r="W547" s="805"/>
      <c r="X547" s="805"/>
      <c r="Y547" s="805"/>
      <c r="Z547" s="914"/>
      <c r="AA547" s="102"/>
      <c r="AB547" s="102"/>
      <c r="AC547" s="102"/>
      <c r="AD547" s="102"/>
      <c r="AE547" s="102"/>
      <c r="AF547" s="102"/>
      <c r="AG547" s="102"/>
      <c r="AH547" s="102"/>
      <c r="AI547" s="102"/>
      <c r="AJ547" s="906"/>
      <c r="AK547" s="102"/>
      <c r="AL547" s="915"/>
      <c r="AM547" s="915"/>
      <c r="AN547" s="114"/>
      <c r="AO547" s="64"/>
      <c r="AP547" s="64"/>
      <c r="AQ547" s="64"/>
      <c r="AR547" s="916"/>
      <c r="AS547" s="916"/>
      <c r="AT547" s="916"/>
      <c r="AU547" s="917"/>
      <c r="AV547" s="917"/>
      <c r="AW547" s="917"/>
      <c r="AX547" s="918"/>
      <c r="AY547" s="916"/>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917"/>
      <c r="CA547" s="917"/>
      <c r="CB547" s="64"/>
      <c r="CC547" s="919"/>
      <c r="CD547" s="919"/>
      <c r="CE547" s="64"/>
      <c r="CF547" s="528"/>
      <c r="CG547" s="529"/>
      <c r="CH547" s="64"/>
      <c r="CI547" s="64"/>
      <c r="CJ547" s="64"/>
      <c r="CK547" s="64"/>
      <c r="CL547" s="64"/>
      <c r="CM547" s="64"/>
      <c r="CN547" s="64"/>
      <c r="CO547" s="64"/>
      <c r="CP547" s="64"/>
      <c r="CQ547" s="64"/>
      <c r="CR547" s="64"/>
      <c r="CS547" s="64"/>
      <c r="CT547" s="64"/>
      <c r="CU547" s="64"/>
      <c r="CV547" s="64"/>
      <c r="CW547" s="64"/>
      <c r="CX547" s="64"/>
      <c r="CY547" s="1011"/>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c r="FC547" s="64"/>
      <c r="FD547" s="64"/>
      <c r="FE547" s="64"/>
      <c r="FF547" s="64"/>
      <c r="FG547" s="64"/>
      <c r="FH547" s="64"/>
      <c r="FI547" s="64"/>
      <c r="FJ547" s="64"/>
      <c r="FK547" s="64"/>
      <c r="FL547" s="64"/>
      <c r="FM547" s="64"/>
      <c r="FN547" s="64"/>
      <c r="FO547" s="64"/>
      <c r="FP547" s="64"/>
      <c r="FQ547" s="64"/>
      <c r="FR547" s="64"/>
      <c r="FS547" s="64"/>
      <c r="FT547" s="64"/>
      <c r="FU547" s="64"/>
      <c r="FV547" s="64"/>
      <c r="FW547" s="64"/>
      <c r="FX547" s="64"/>
      <c r="FY547" s="64"/>
      <c r="FZ547" s="64"/>
      <c r="GA547" s="64"/>
      <c r="GB547" s="64"/>
      <c r="GC547" s="64"/>
      <c r="GD547" s="64"/>
      <c r="GE547" s="64"/>
      <c r="GF547" s="64"/>
      <c r="GG547" s="64"/>
      <c r="GH547" s="64"/>
      <c r="GI547" s="64"/>
      <c r="GJ547" s="64"/>
      <c r="GK547" s="64"/>
      <c r="GL547" s="64"/>
      <c r="GM547" s="64"/>
      <c r="GN547" s="64"/>
      <c r="GO547" s="64"/>
      <c r="GP547" s="64"/>
      <c r="GQ547" s="64"/>
      <c r="GR547" s="64"/>
      <c r="GS547" s="64"/>
      <c r="GT547" s="64"/>
      <c r="GU547" s="64"/>
      <c r="GV547" s="64"/>
      <c r="GW547" s="64"/>
      <c r="GX547" s="64"/>
      <c r="GY547" s="64"/>
      <c r="GZ547" s="64"/>
      <c r="HA547" s="64"/>
      <c r="HB547" s="64"/>
      <c r="HC547" s="64"/>
      <c r="HD547" s="64"/>
      <c r="HE547" s="64"/>
      <c r="HF547" s="64"/>
      <c r="HG547" s="64"/>
      <c r="HH547" s="64"/>
      <c r="HI547" s="64"/>
      <c r="HJ547" s="64"/>
      <c r="HK547" s="64"/>
      <c r="HL547" s="64"/>
      <c r="HM547" s="64"/>
      <c r="HN547" s="64"/>
      <c r="HO547" s="64"/>
      <c r="HP547" s="64"/>
      <c r="HQ547" s="64"/>
      <c r="HR547" s="64"/>
      <c r="HS547" s="64"/>
      <c r="HT547" s="64"/>
      <c r="HU547" s="64"/>
      <c r="HV547" s="64"/>
      <c r="HW547" s="64"/>
      <c r="HX547" s="64"/>
      <c r="HY547" s="64"/>
      <c r="HZ547" s="64"/>
      <c r="IA547" s="64"/>
      <c r="IB547" s="64"/>
      <c r="IC547" s="64"/>
      <c r="ID547" s="64"/>
      <c r="IE547" s="64"/>
      <c r="IF547" s="64"/>
      <c r="IG547" s="64"/>
      <c r="IH547" s="64"/>
      <c r="II547" s="64"/>
      <c r="IJ547" s="64"/>
      <c r="IK547" s="64"/>
      <c r="IL547" s="64"/>
      <c r="IM547" s="64"/>
      <c r="IN547" s="64"/>
      <c r="IO547" s="64"/>
      <c r="IP547" s="64"/>
      <c r="IQ547" s="64"/>
      <c r="IR547" s="64"/>
      <c r="IS547" s="64"/>
      <c r="IT547" s="64"/>
      <c r="IU547" s="64"/>
      <c r="IV547" s="64"/>
      <c r="IW547" s="64"/>
      <c r="IX547" s="64"/>
      <c r="IY547" s="64"/>
      <c r="IZ547" s="64"/>
      <c r="JA547" s="64"/>
      <c r="JB547" s="64"/>
      <c r="JC547" s="64"/>
      <c r="JD547" s="64"/>
      <c r="JE547" s="64"/>
      <c r="JF547" s="64"/>
      <c r="JG547" s="64"/>
      <c r="JH547" s="64"/>
      <c r="JI547" s="64"/>
    </row>
    <row r="548" spans="1:269" s="920" customFormat="1" x14ac:dyDescent="0.2">
      <c r="A548" s="116"/>
      <c r="B548" s="64"/>
      <c r="C548" s="64"/>
      <c r="D548" s="64"/>
      <c r="E548" s="64"/>
      <c r="F548" s="64"/>
      <c r="G548" s="64"/>
      <c r="H548" s="64"/>
      <c r="I548" s="64"/>
      <c r="J548" s="116"/>
      <c r="K548" s="116"/>
      <c r="L548" s="116"/>
      <c r="M548" s="116"/>
      <c r="N548" s="116"/>
      <c r="O548" s="116"/>
      <c r="P548" s="116"/>
      <c r="Q548" s="102"/>
      <c r="R548" s="102"/>
      <c r="S548" s="102"/>
      <c r="T548" s="102"/>
      <c r="U548" s="913"/>
      <c r="V548" s="114"/>
      <c r="W548" s="805"/>
      <c r="X548" s="805"/>
      <c r="Y548" s="805"/>
      <c r="Z548" s="914"/>
      <c r="AA548" s="102"/>
      <c r="AB548" s="102"/>
      <c r="AC548" s="102"/>
      <c r="AD548" s="102"/>
      <c r="AE548" s="102"/>
      <c r="AF548" s="102"/>
      <c r="AG548" s="102"/>
      <c r="AH548" s="102"/>
      <c r="AI548" s="102"/>
      <c r="AJ548" s="906"/>
      <c r="AK548" s="102"/>
      <c r="AL548" s="915"/>
      <c r="AM548" s="915"/>
      <c r="AN548" s="114"/>
      <c r="AO548" s="64"/>
      <c r="AP548" s="64"/>
      <c r="AQ548" s="64"/>
      <c r="AR548" s="916"/>
      <c r="AS548" s="916"/>
      <c r="AT548" s="916"/>
      <c r="AU548" s="917"/>
      <c r="AV548" s="917"/>
      <c r="AW548" s="917"/>
      <c r="AX548" s="918"/>
      <c r="AY548" s="916"/>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917"/>
      <c r="CA548" s="917"/>
      <c r="CB548" s="64"/>
      <c r="CC548" s="919"/>
      <c r="CD548" s="919"/>
      <c r="CE548" s="64"/>
      <c r="CF548" s="528"/>
      <c r="CG548" s="529"/>
      <c r="CH548" s="64"/>
      <c r="CI548" s="64"/>
      <c r="CJ548" s="64"/>
      <c r="CK548" s="64"/>
      <c r="CL548" s="64"/>
      <c r="CM548" s="64"/>
      <c r="CN548" s="64"/>
      <c r="CO548" s="64"/>
      <c r="CP548" s="64"/>
      <c r="CQ548" s="64"/>
      <c r="CR548" s="64"/>
      <c r="CS548" s="64"/>
      <c r="CT548" s="64"/>
      <c r="CU548" s="64"/>
      <c r="CV548" s="64"/>
      <c r="CW548" s="64"/>
      <c r="CX548" s="64"/>
      <c r="CY548" s="1011"/>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c r="FC548" s="64"/>
      <c r="FD548" s="64"/>
      <c r="FE548" s="64"/>
      <c r="FF548" s="64"/>
      <c r="FG548" s="64"/>
      <c r="FH548" s="64"/>
      <c r="FI548" s="64"/>
      <c r="FJ548" s="64"/>
      <c r="FK548" s="64"/>
      <c r="FL548" s="64"/>
      <c r="FM548" s="64"/>
      <c r="FN548" s="64"/>
      <c r="FO548" s="64"/>
      <c r="FP548" s="64"/>
      <c r="FQ548" s="64"/>
      <c r="FR548" s="64"/>
      <c r="FS548" s="64"/>
      <c r="FT548" s="64"/>
      <c r="FU548" s="64"/>
      <c r="FV548" s="64"/>
      <c r="FW548" s="64"/>
      <c r="FX548" s="64"/>
      <c r="FY548" s="64"/>
      <c r="FZ548" s="64"/>
      <c r="GA548" s="64"/>
      <c r="GB548" s="64"/>
      <c r="GC548" s="64"/>
      <c r="GD548" s="64"/>
      <c r="GE548" s="64"/>
      <c r="GF548" s="64"/>
      <c r="GG548" s="64"/>
      <c r="GH548" s="64"/>
      <c r="GI548" s="64"/>
      <c r="GJ548" s="64"/>
      <c r="GK548" s="64"/>
      <c r="GL548" s="64"/>
      <c r="GM548" s="64"/>
      <c r="GN548" s="64"/>
      <c r="GO548" s="64"/>
      <c r="GP548" s="64"/>
      <c r="GQ548" s="64"/>
      <c r="GR548" s="64"/>
      <c r="GS548" s="64"/>
      <c r="GT548" s="64"/>
      <c r="GU548" s="64"/>
      <c r="GV548" s="64"/>
      <c r="GW548" s="64"/>
      <c r="GX548" s="64"/>
      <c r="GY548" s="64"/>
      <c r="GZ548" s="64"/>
      <c r="HA548" s="64"/>
      <c r="HB548" s="64"/>
      <c r="HC548" s="64"/>
      <c r="HD548" s="64"/>
      <c r="HE548" s="64"/>
      <c r="HF548" s="64"/>
      <c r="HG548" s="64"/>
      <c r="HH548" s="64"/>
      <c r="HI548" s="64"/>
      <c r="HJ548" s="64"/>
      <c r="HK548" s="64"/>
      <c r="HL548" s="64"/>
      <c r="HM548" s="64"/>
      <c r="HN548" s="64"/>
      <c r="HO548" s="64"/>
      <c r="HP548" s="64"/>
      <c r="HQ548" s="64"/>
      <c r="HR548" s="64"/>
      <c r="HS548" s="64"/>
      <c r="HT548" s="64"/>
      <c r="HU548" s="64"/>
      <c r="HV548" s="64"/>
      <c r="HW548" s="64"/>
      <c r="HX548" s="64"/>
      <c r="HY548" s="64"/>
      <c r="HZ548" s="64"/>
      <c r="IA548" s="64"/>
      <c r="IB548" s="64"/>
      <c r="IC548" s="64"/>
      <c r="ID548" s="64"/>
      <c r="IE548" s="64"/>
      <c r="IF548" s="64"/>
      <c r="IG548" s="64"/>
      <c r="IH548" s="64"/>
      <c r="II548" s="64"/>
      <c r="IJ548" s="64"/>
      <c r="IK548" s="64"/>
      <c r="IL548" s="64"/>
      <c r="IM548" s="64"/>
      <c r="IN548" s="64"/>
      <c r="IO548" s="64"/>
      <c r="IP548" s="64"/>
      <c r="IQ548" s="64"/>
      <c r="IR548" s="64"/>
      <c r="IS548" s="64"/>
      <c r="IT548" s="64"/>
      <c r="IU548" s="64"/>
      <c r="IV548" s="64"/>
      <c r="IW548" s="64"/>
      <c r="IX548" s="64"/>
      <c r="IY548" s="64"/>
      <c r="IZ548" s="64"/>
      <c r="JA548" s="64"/>
      <c r="JB548" s="64"/>
      <c r="JC548" s="64"/>
      <c r="JD548" s="64"/>
      <c r="JE548" s="64"/>
      <c r="JF548" s="64"/>
      <c r="JG548" s="64"/>
      <c r="JH548" s="64"/>
      <c r="JI548" s="64"/>
    </row>
    <row r="549" spans="1:269" s="920" customFormat="1" x14ac:dyDescent="0.2">
      <c r="A549" s="116"/>
      <c r="B549" s="64"/>
      <c r="C549" s="64"/>
      <c r="D549" s="64"/>
      <c r="E549" s="64"/>
      <c r="F549" s="64"/>
      <c r="G549" s="64"/>
      <c r="H549" s="64"/>
      <c r="I549" s="64"/>
      <c r="J549" s="116"/>
      <c r="K549" s="116"/>
      <c r="L549" s="116"/>
      <c r="M549" s="116"/>
      <c r="N549" s="116"/>
      <c r="O549" s="116"/>
      <c r="P549" s="116"/>
      <c r="Q549" s="102"/>
      <c r="R549" s="102"/>
      <c r="S549" s="102"/>
      <c r="T549" s="102"/>
      <c r="U549" s="913"/>
      <c r="V549" s="114"/>
      <c r="W549" s="805"/>
      <c r="X549" s="805"/>
      <c r="Y549" s="805"/>
      <c r="Z549" s="914"/>
      <c r="AA549" s="102"/>
      <c r="AB549" s="102"/>
      <c r="AC549" s="102"/>
      <c r="AD549" s="102"/>
      <c r="AE549" s="102"/>
      <c r="AF549" s="102"/>
      <c r="AG549" s="102"/>
      <c r="AH549" s="102"/>
      <c r="AI549" s="102"/>
      <c r="AJ549" s="906"/>
      <c r="AK549" s="102"/>
      <c r="AL549" s="915"/>
      <c r="AM549" s="915"/>
      <c r="AN549" s="114"/>
      <c r="AO549" s="64"/>
      <c r="AP549" s="64"/>
      <c r="AQ549" s="64"/>
      <c r="AR549" s="916"/>
      <c r="AS549" s="916"/>
      <c r="AT549" s="916"/>
      <c r="AU549" s="917"/>
      <c r="AV549" s="917"/>
      <c r="AW549" s="917"/>
      <c r="AX549" s="918"/>
      <c r="AY549" s="916"/>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917"/>
      <c r="CA549" s="917"/>
      <c r="CB549" s="64"/>
      <c r="CC549" s="919"/>
      <c r="CD549" s="919"/>
      <c r="CE549" s="64"/>
      <c r="CF549" s="528"/>
      <c r="CG549" s="529"/>
      <c r="CH549" s="64"/>
      <c r="CI549" s="64"/>
      <c r="CJ549" s="64"/>
      <c r="CK549" s="64"/>
      <c r="CL549" s="64"/>
      <c r="CM549" s="64"/>
      <c r="CN549" s="64"/>
      <c r="CO549" s="64"/>
      <c r="CP549" s="64"/>
      <c r="CQ549" s="64"/>
      <c r="CR549" s="64"/>
      <c r="CS549" s="64"/>
      <c r="CT549" s="64"/>
      <c r="CU549" s="64"/>
      <c r="CV549" s="64"/>
      <c r="CW549" s="64"/>
      <c r="CX549" s="64"/>
      <c r="CY549" s="1011"/>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c r="FC549" s="64"/>
      <c r="FD549" s="64"/>
      <c r="FE549" s="64"/>
      <c r="FF549" s="64"/>
      <c r="FG549" s="64"/>
      <c r="FH549" s="64"/>
      <c r="FI549" s="64"/>
      <c r="FJ549" s="64"/>
      <c r="FK549" s="64"/>
      <c r="FL549" s="64"/>
      <c r="FM549" s="64"/>
      <c r="FN549" s="64"/>
      <c r="FO549" s="64"/>
      <c r="FP549" s="64"/>
      <c r="FQ549" s="64"/>
      <c r="FR549" s="64"/>
      <c r="FS549" s="64"/>
      <c r="FT549" s="64"/>
      <c r="FU549" s="64"/>
      <c r="FV549" s="64"/>
      <c r="FW549" s="64"/>
      <c r="FX549" s="64"/>
      <c r="FY549" s="64"/>
      <c r="FZ549" s="64"/>
      <c r="GA549" s="64"/>
      <c r="GB549" s="64"/>
      <c r="GC549" s="64"/>
      <c r="GD549" s="64"/>
      <c r="GE549" s="64"/>
      <c r="GF549" s="64"/>
      <c r="GG549" s="64"/>
      <c r="GH549" s="64"/>
      <c r="GI549" s="64"/>
      <c r="GJ549" s="64"/>
      <c r="GK549" s="64"/>
      <c r="GL549" s="64"/>
      <c r="GM549" s="64"/>
      <c r="GN549" s="64"/>
      <c r="GO549" s="64"/>
      <c r="GP549" s="64"/>
      <c r="GQ549" s="64"/>
      <c r="GR549" s="64"/>
      <c r="GS549" s="64"/>
      <c r="GT549" s="64"/>
      <c r="GU549" s="64"/>
      <c r="GV549" s="64"/>
      <c r="GW549" s="64"/>
      <c r="GX549" s="64"/>
      <c r="GY549" s="64"/>
      <c r="GZ549" s="64"/>
      <c r="HA549" s="64"/>
      <c r="HB549" s="64"/>
      <c r="HC549" s="64"/>
      <c r="HD549" s="64"/>
      <c r="HE549" s="64"/>
      <c r="HF549" s="64"/>
      <c r="HG549" s="64"/>
      <c r="HH549" s="64"/>
      <c r="HI549" s="64"/>
      <c r="HJ549" s="64"/>
      <c r="HK549" s="64"/>
      <c r="HL549" s="64"/>
      <c r="HM549" s="64"/>
      <c r="HN549" s="64"/>
      <c r="HO549" s="64"/>
      <c r="HP549" s="64"/>
      <c r="HQ549" s="64"/>
      <c r="HR549" s="64"/>
      <c r="HS549" s="64"/>
      <c r="HT549" s="64"/>
      <c r="HU549" s="64"/>
      <c r="HV549" s="64"/>
      <c r="HW549" s="64"/>
      <c r="HX549" s="64"/>
      <c r="HY549" s="64"/>
      <c r="HZ549" s="64"/>
      <c r="IA549" s="64"/>
      <c r="IB549" s="64"/>
      <c r="IC549" s="64"/>
      <c r="ID549" s="64"/>
      <c r="IE549" s="64"/>
      <c r="IF549" s="64"/>
      <c r="IG549" s="64"/>
      <c r="IH549" s="64"/>
      <c r="II549" s="64"/>
      <c r="IJ549" s="64"/>
      <c r="IK549" s="64"/>
      <c r="IL549" s="64"/>
      <c r="IM549" s="64"/>
      <c r="IN549" s="64"/>
      <c r="IO549" s="64"/>
      <c r="IP549" s="64"/>
      <c r="IQ549" s="64"/>
      <c r="IR549" s="64"/>
      <c r="IS549" s="64"/>
      <c r="IT549" s="64"/>
      <c r="IU549" s="64"/>
      <c r="IV549" s="64"/>
      <c r="IW549" s="64"/>
      <c r="IX549" s="64"/>
      <c r="IY549" s="64"/>
      <c r="IZ549" s="64"/>
      <c r="JA549" s="64"/>
      <c r="JB549" s="64"/>
      <c r="JC549" s="64"/>
      <c r="JD549" s="64"/>
      <c r="JE549" s="64"/>
      <c r="JF549" s="64"/>
      <c r="JG549" s="64"/>
      <c r="JH549" s="64"/>
      <c r="JI549" s="64"/>
    </row>
    <row r="550" spans="1:269" s="920" customFormat="1" x14ac:dyDescent="0.2">
      <c r="A550" s="116"/>
      <c r="B550" s="64"/>
      <c r="C550" s="64"/>
      <c r="D550" s="64"/>
      <c r="E550" s="64"/>
      <c r="F550" s="64"/>
      <c r="G550" s="64"/>
      <c r="H550" s="64"/>
      <c r="I550" s="64"/>
      <c r="J550" s="116"/>
      <c r="K550" s="116"/>
      <c r="L550" s="116"/>
      <c r="M550" s="116"/>
      <c r="N550" s="116"/>
      <c r="O550" s="116"/>
      <c r="P550" s="116"/>
      <c r="Q550" s="102"/>
      <c r="R550" s="102"/>
      <c r="S550" s="102"/>
      <c r="T550" s="102"/>
      <c r="U550" s="913"/>
      <c r="V550" s="114"/>
      <c r="W550" s="805"/>
      <c r="X550" s="805"/>
      <c r="Y550" s="805"/>
      <c r="Z550" s="914"/>
      <c r="AA550" s="102"/>
      <c r="AB550" s="102"/>
      <c r="AC550" s="102"/>
      <c r="AD550" s="102"/>
      <c r="AE550" s="102"/>
      <c r="AF550" s="102"/>
      <c r="AG550" s="102"/>
      <c r="AH550" s="102"/>
      <c r="AI550" s="102"/>
      <c r="AJ550" s="906"/>
      <c r="AK550" s="102"/>
      <c r="AL550" s="915"/>
      <c r="AM550" s="915"/>
      <c r="AN550" s="114"/>
      <c r="AO550" s="64"/>
      <c r="AP550" s="64"/>
      <c r="AQ550" s="64"/>
      <c r="AR550" s="916"/>
      <c r="AS550" s="916"/>
      <c r="AT550" s="916"/>
      <c r="AU550" s="917"/>
      <c r="AV550" s="917"/>
      <c r="AW550" s="917"/>
      <c r="AX550" s="918"/>
      <c r="AY550" s="916"/>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917"/>
      <c r="CA550" s="917"/>
      <c r="CB550" s="64"/>
      <c r="CC550" s="919"/>
      <c r="CD550" s="919"/>
      <c r="CE550" s="64"/>
      <c r="CF550" s="528"/>
      <c r="CG550" s="529"/>
      <c r="CH550" s="64"/>
      <c r="CI550" s="64"/>
      <c r="CJ550" s="64"/>
      <c r="CK550" s="64"/>
      <c r="CL550" s="64"/>
      <c r="CM550" s="64"/>
      <c r="CN550" s="64"/>
      <c r="CO550" s="64"/>
      <c r="CP550" s="64"/>
      <c r="CQ550" s="64"/>
      <c r="CR550" s="64"/>
      <c r="CS550" s="64"/>
      <c r="CT550" s="64"/>
      <c r="CU550" s="64"/>
      <c r="CV550" s="64"/>
      <c r="CW550" s="64"/>
      <c r="CX550" s="64"/>
      <c r="CY550" s="1011"/>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c r="FC550" s="64"/>
      <c r="FD550" s="64"/>
      <c r="FE550" s="64"/>
      <c r="FF550" s="64"/>
      <c r="FG550" s="64"/>
      <c r="FH550" s="64"/>
      <c r="FI550" s="64"/>
      <c r="FJ550" s="64"/>
      <c r="FK550" s="64"/>
      <c r="FL550" s="64"/>
      <c r="FM550" s="64"/>
      <c r="FN550" s="64"/>
      <c r="FO550" s="64"/>
      <c r="FP550" s="64"/>
      <c r="FQ550" s="64"/>
      <c r="FR550" s="64"/>
      <c r="FS550" s="64"/>
      <c r="FT550" s="64"/>
      <c r="FU550" s="64"/>
      <c r="FV550" s="64"/>
      <c r="FW550" s="64"/>
      <c r="FX550" s="64"/>
      <c r="FY550" s="64"/>
      <c r="FZ550" s="64"/>
      <c r="GA550" s="64"/>
      <c r="GB550" s="64"/>
      <c r="GC550" s="64"/>
      <c r="GD550" s="64"/>
      <c r="GE550" s="64"/>
      <c r="GF550" s="64"/>
      <c r="GG550" s="64"/>
      <c r="GH550" s="64"/>
      <c r="GI550" s="64"/>
      <c r="GJ550" s="64"/>
      <c r="GK550" s="64"/>
      <c r="GL550" s="64"/>
      <c r="GM550" s="64"/>
      <c r="GN550" s="64"/>
      <c r="GO550" s="64"/>
      <c r="GP550" s="64"/>
      <c r="GQ550" s="64"/>
      <c r="GR550" s="64"/>
      <c r="GS550" s="64"/>
      <c r="GT550" s="64"/>
      <c r="GU550" s="64"/>
      <c r="GV550" s="64"/>
      <c r="GW550" s="64"/>
      <c r="GX550" s="64"/>
      <c r="GY550" s="64"/>
      <c r="GZ550" s="64"/>
      <c r="HA550" s="64"/>
      <c r="HB550" s="64"/>
      <c r="HC550" s="64"/>
      <c r="HD550" s="64"/>
      <c r="HE550" s="64"/>
      <c r="HF550" s="64"/>
      <c r="HG550" s="64"/>
      <c r="HH550" s="64"/>
      <c r="HI550" s="64"/>
      <c r="HJ550" s="64"/>
      <c r="HK550" s="64"/>
      <c r="HL550" s="64"/>
      <c r="HM550" s="64"/>
      <c r="HN550" s="64"/>
      <c r="HO550" s="64"/>
      <c r="HP550" s="64"/>
      <c r="HQ550" s="64"/>
      <c r="HR550" s="64"/>
      <c r="HS550" s="64"/>
      <c r="HT550" s="64"/>
      <c r="HU550" s="64"/>
      <c r="HV550" s="64"/>
      <c r="HW550" s="64"/>
      <c r="HX550" s="64"/>
      <c r="HY550" s="64"/>
      <c r="HZ550" s="64"/>
      <c r="IA550" s="64"/>
      <c r="IB550" s="64"/>
      <c r="IC550" s="64"/>
      <c r="ID550" s="64"/>
      <c r="IE550" s="64"/>
      <c r="IF550" s="64"/>
      <c r="IG550" s="64"/>
      <c r="IH550" s="64"/>
      <c r="II550" s="64"/>
      <c r="IJ550" s="64"/>
      <c r="IK550" s="64"/>
      <c r="IL550" s="64"/>
      <c r="IM550" s="64"/>
      <c r="IN550" s="64"/>
      <c r="IO550" s="64"/>
      <c r="IP550" s="64"/>
      <c r="IQ550" s="64"/>
      <c r="IR550" s="64"/>
      <c r="IS550" s="64"/>
      <c r="IT550" s="64"/>
      <c r="IU550" s="64"/>
      <c r="IV550" s="64"/>
      <c r="IW550" s="64"/>
      <c r="IX550" s="64"/>
      <c r="IY550" s="64"/>
      <c r="IZ550" s="64"/>
      <c r="JA550" s="64"/>
      <c r="JB550" s="64"/>
      <c r="JC550" s="64"/>
      <c r="JD550" s="64"/>
      <c r="JE550" s="64"/>
      <c r="JF550" s="64"/>
      <c r="JG550" s="64"/>
      <c r="JH550" s="64"/>
      <c r="JI550" s="64"/>
    </row>
    <row r="551" spans="1:269" s="920" customFormat="1" x14ac:dyDescent="0.2">
      <c r="A551" s="116"/>
      <c r="B551" s="64"/>
      <c r="C551" s="64"/>
      <c r="D551" s="64"/>
      <c r="E551" s="64"/>
      <c r="F551" s="64"/>
      <c r="G551" s="64"/>
      <c r="H551" s="64"/>
      <c r="I551" s="64"/>
      <c r="J551" s="116"/>
      <c r="K551" s="116"/>
      <c r="L551" s="116"/>
      <c r="M551" s="116"/>
      <c r="N551" s="116"/>
      <c r="O551" s="116"/>
      <c r="P551" s="116"/>
      <c r="Q551" s="102"/>
      <c r="R551" s="102"/>
      <c r="S551" s="102"/>
      <c r="T551" s="102"/>
      <c r="U551" s="913"/>
      <c r="V551" s="114"/>
      <c r="W551" s="805"/>
      <c r="X551" s="805"/>
      <c r="Y551" s="805"/>
      <c r="Z551" s="914"/>
      <c r="AA551" s="102"/>
      <c r="AB551" s="102"/>
      <c r="AC551" s="102"/>
      <c r="AD551" s="102"/>
      <c r="AE551" s="102"/>
      <c r="AF551" s="102"/>
      <c r="AG551" s="102"/>
      <c r="AH551" s="102"/>
      <c r="AI551" s="102"/>
      <c r="AJ551" s="906"/>
      <c r="AK551" s="102"/>
      <c r="AL551" s="915"/>
      <c r="AM551" s="915"/>
      <c r="AN551" s="114"/>
      <c r="AO551" s="64"/>
      <c r="AP551" s="64"/>
      <c r="AQ551" s="64"/>
      <c r="AR551" s="916"/>
      <c r="AS551" s="916"/>
      <c r="AT551" s="916"/>
      <c r="AU551" s="917"/>
      <c r="AV551" s="917"/>
      <c r="AW551" s="917"/>
      <c r="AX551" s="918"/>
      <c r="AY551" s="916"/>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917"/>
      <c r="CA551" s="917"/>
      <c r="CB551" s="64"/>
      <c r="CC551" s="919"/>
      <c r="CD551" s="919"/>
      <c r="CE551" s="64"/>
      <c r="CF551" s="528"/>
      <c r="CG551" s="529"/>
      <c r="CH551" s="64"/>
      <c r="CI551" s="64"/>
      <c r="CJ551" s="64"/>
      <c r="CK551" s="64"/>
      <c r="CL551" s="64"/>
      <c r="CM551" s="64"/>
      <c r="CN551" s="64"/>
      <c r="CO551" s="64"/>
      <c r="CP551" s="64"/>
      <c r="CQ551" s="64"/>
      <c r="CR551" s="64"/>
      <c r="CS551" s="64"/>
      <c r="CT551" s="64"/>
      <c r="CU551" s="64"/>
      <c r="CV551" s="64"/>
      <c r="CW551" s="64"/>
      <c r="CX551" s="64"/>
      <c r="CY551" s="1011"/>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c r="FC551" s="64"/>
      <c r="FD551" s="64"/>
      <c r="FE551" s="64"/>
      <c r="FF551" s="64"/>
      <c r="FG551" s="64"/>
      <c r="FH551" s="64"/>
      <c r="FI551" s="64"/>
      <c r="FJ551" s="64"/>
      <c r="FK551" s="64"/>
      <c r="FL551" s="64"/>
      <c r="FM551" s="64"/>
      <c r="FN551" s="64"/>
      <c r="FO551" s="64"/>
      <c r="FP551" s="64"/>
      <c r="FQ551" s="64"/>
      <c r="FR551" s="64"/>
      <c r="FS551" s="64"/>
      <c r="FT551" s="64"/>
      <c r="FU551" s="64"/>
      <c r="FV551" s="64"/>
      <c r="FW551" s="64"/>
      <c r="FX551" s="64"/>
      <c r="FY551" s="64"/>
      <c r="FZ551" s="64"/>
      <c r="GA551" s="64"/>
      <c r="GB551" s="64"/>
      <c r="GC551" s="64"/>
      <c r="GD551" s="64"/>
      <c r="GE551" s="64"/>
      <c r="GF551" s="64"/>
      <c r="GG551" s="64"/>
      <c r="GH551" s="64"/>
      <c r="GI551" s="64"/>
      <c r="GJ551" s="64"/>
      <c r="GK551" s="64"/>
      <c r="GL551" s="64"/>
      <c r="GM551" s="64"/>
      <c r="GN551" s="64"/>
      <c r="GO551" s="64"/>
      <c r="GP551" s="64"/>
      <c r="GQ551" s="64"/>
      <c r="GR551" s="64"/>
      <c r="GS551" s="64"/>
      <c r="GT551" s="64"/>
      <c r="GU551" s="64"/>
      <c r="GV551" s="64"/>
      <c r="GW551" s="64"/>
      <c r="GX551" s="64"/>
      <c r="GY551" s="64"/>
      <c r="GZ551" s="64"/>
      <c r="HA551" s="64"/>
      <c r="HB551" s="64"/>
      <c r="HC551" s="64"/>
      <c r="HD551" s="64"/>
      <c r="HE551" s="64"/>
      <c r="HF551" s="64"/>
      <c r="HG551" s="64"/>
      <c r="HH551" s="64"/>
      <c r="HI551" s="64"/>
      <c r="HJ551" s="64"/>
      <c r="HK551" s="64"/>
      <c r="HL551" s="64"/>
      <c r="HM551" s="64"/>
      <c r="HN551" s="64"/>
      <c r="HO551" s="64"/>
      <c r="HP551" s="64"/>
      <c r="HQ551" s="64"/>
      <c r="HR551" s="64"/>
      <c r="HS551" s="64"/>
      <c r="HT551" s="64"/>
      <c r="HU551" s="64"/>
      <c r="HV551" s="64"/>
      <c r="HW551" s="64"/>
      <c r="HX551" s="64"/>
      <c r="HY551" s="64"/>
      <c r="HZ551" s="64"/>
      <c r="IA551" s="64"/>
      <c r="IB551" s="64"/>
      <c r="IC551" s="64"/>
      <c r="ID551" s="64"/>
      <c r="IE551" s="64"/>
      <c r="IF551" s="64"/>
      <c r="IG551" s="64"/>
      <c r="IH551" s="64"/>
      <c r="II551" s="64"/>
      <c r="IJ551" s="64"/>
      <c r="IK551" s="64"/>
      <c r="IL551" s="64"/>
      <c r="IM551" s="64"/>
      <c r="IN551" s="64"/>
      <c r="IO551" s="64"/>
      <c r="IP551" s="64"/>
      <c r="IQ551" s="64"/>
      <c r="IR551" s="64"/>
      <c r="IS551" s="64"/>
      <c r="IT551" s="64"/>
      <c r="IU551" s="64"/>
      <c r="IV551" s="64"/>
      <c r="IW551" s="64"/>
      <c r="IX551" s="64"/>
      <c r="IY551" s="64"/>
      <c r="IZ551" s="64"/>
      <c r="JA551" s="64"/>
      <c r="JB551" s="64"/>
      <c r="JC551" s="64"/>
      <c r="JD551" s="64"/>
      <c r="JE551" s="64"/>
      <c r="JF551" s="64"/>
      <c r="JG551" s="64"/>
      <c r="JH551" s="64"/>
      <c r="JI551" s="64"/>
    </row>
    <row r="552" spans="1:269" s="920" customFormat="1" x14ac:dyDescent="0.2">
      <c r="A552" s="116"/>
      <c r="B552" s="64"/>
      <c r="C552" s="64"/>
      <c r="D552" s="64"/>
      <c r="E552" s="64"/>
      <c r="F552" s="64"/>
      <c r="G552" s="64"/>
      <c r="H552" s="64"/>
      <c r="I552" s="64"/>
      <c r="J552" s="116"/>
      <c r="K552" s="116"/>
      <c r="L552" s="116"/>
      <c r="M552" s="116"/>
      <c r="N552" s="116"/>
      <c r="O552" s="116"/>
      <c r="P552" s="116"/>
      <c r="Q552" s="102"/>
      <c r="R552" s="102"/>
      <c r="S552" s="102"/>
      <c r="T552" s="102"/>
      <c r="U552" s="913"/>
      <c r="V552" s="114"/>
      <c r="W552" s="805"/>
      <c r="X552" s="805"/>
      <c r="Y552" s="805"/>
      <c r="Z552" s="914"/>
      <c r="AA552" s="102"/>
      <c r="AB552" s="102"/>
      <c r="AC552" s="102"/>
      <c r="AD552" s="102"/>
      <c r="AE552" s="102"/>
      <c r="AF552" s="102"/>
      <c r="AG552" s="102"/>
      <c r="AH552" s="102"/>
      <c r="AI552" s="102"/>
      <c r="AJ552" s="906"/>
      <c r="AK552" s="102"/>
      <c r="AL552" s="915"/>
      <c r="AM552" s="915"/>
      <c r="AN552" s="114"/>
      <c r="AO552" s="64"/>
      <c r="AP552" s="64"/>
      <c r="AQ552" s="64"/>
      <c r="AR552" s="916"/>
      <c r="AS552" s="916"/>
      <c r="AT552" s="916"/>
      <c r="AU552" s="917"/>
      <c r="AV552" s="917"/>
      <c r="AW552" s="917"/>
      <c r="AX552" s="918"/>
      <c r="AY552" s="916"/>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917"/>
      <c r="CA552" s="917"/>
      <c r="CB552" s="64"/>
      <c r="CC552" s="919"/>
      <c r="CD552" s="919"/>
      <c r="CE552" s="64"/>
      <c r="CF552" s="528"/>
      <c r="CG552" s="529"/>
      <c r="CH552" s="64"/>
      <c r="CI552" s="64"/>
      <c r="CJ552" s="64"/>
      <c r="CK552" s="64"/>
      <c r="CL552" s="64"/>
      <c r="CM552" s="64"/>
      <c r="CN552" s="64"/>
      <c r="CO552" s="64"/>
      <c r="CP552" s="64"/>
      <c r="CQ552" s="64"/>
      <c r="CR552" s="64"/>
      <c r="CS552" s="64"/>
      <c r="CT552" s="64"/>
      <c r="CU552" s="64"/>
      <c r="CV552" s="64"/>
      <c r="CW552" s="64"/>
      <c r="CX552" s="64"/>
      <c r="CY552" s="1011"/>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c r="FC552" s="64"/>
      <c r="FD552" s="64"/>
      <c r="FE552" s="64"/>
      <c r="FF552" s="64"/>
      <c r="FG552" s="64"/>
      <c r="FH552" s="64"/>
      <c r="FI552" s="64"/>
      <c r="FJ552" s="64"/>
      <c r="FK552" s="64"/>
      <c r="FL552" s="64"/>
      <c r="FM552" s="64"/>
      <c r="FN552" s="64"/>
      <c r="FO552" s="64"/>
      <c r="FP552" s="64"/>
      <c r="FQ552" s="64"/>
      <c r="FR552" s="64"/>
      <c r="FS552" s="64"/>
      <c r="FT552" s="64"/>
      <c r="FU552" s="64"/>
      <c r="FV552" s="64"/>
      <c r="FW552" s="64"/>
      <c r="FX552" s="64"/>
      <c r="FY552" s="64"/>
      <c r="FZ552" s="64"/>
      <c r="GA552" s="64"/>
      <c r="GB552" s="64"/>
      <c r="GC552" s="64"/>
      <c r="GD552" s="64"/>
      <c r="GE552" s="64"/>
      <c r="GF552" s="64"/>
      <c r="GG552" s="64"/>
      <c r="GH552" s="64"/>
      <c r="GI552" s="64"/>
      <c r="GJ552" s="64"/>
      <c r="GK552" s="64"/>
      <c r="GL552" s="64"/>
      <c r="GM552" s="64"/>
      <c r="GN552" s="64"/>
      <c r="GO552" s="64"/>
      <c r="GP552" s="64"/>
      <c r="GQ552" s="64"/>
      <c r="GR552" s="64"/>
      <c r="GS552" s="64"/>
      <c r="GT552" s="64"/>
      <c r="GU552" s="64"/>
      <c r="GV552" s="64"/>
      <c r="GW552" s="64"/>
      <c r="GX552" s="64"/>
      <c r="GY552" s="64"/>
      <c r="GZ552" s="64"/>
      <c r="HA552" s="64"/>
      <c r="HB552" s="64"/>
      <c r="HC552" s="64"/>
      <c r="HD552" s="64"/>
      <c r="HE552" s="64"/>
      <c r="HF552" s="64"/>
      <c r="HG552" s="64"/>
      <c r="HH552" s="64"/>
      <c r="HI552" s="64"/>
      <c r="HJ552" s="64"/>
      <c r="HK552" s="64"/>
      <c r="HL552" s="64"/>
      <c r="HM552" s="64"/>
      <c r="HN552" s="64"/>
      <c r="HO552" s="64"/>
      <c r="HP552" s="64"/>
      <c r="HQ552" s="64"/>
      <c r="HR552" s="64"/>
      <c r="HS552" s="64"/>
      <c r="HT552" s="64"/>
      <c r="HU552" s="64"/>
      <c r="HV552" s="64"/>
      <c r="HW552" s="64"/>
      <c r="HX552" s="64"/>
      <c r="HY552" s="64"/>
      <c r="HZ552" s="64"/>
      <c r="IA552" s="64"/>
      <c r="IB552" s="64"/>
      <c r="IC552" s="64"/>
      <c r="ID552" s="64"/>
      <c r="IE552" s="64"/>
      <c r="IF552" s="64"/>
      <c r="IG552" s="64"/>
      <c r="IH552" s="64"/>
      <c r="II552" s="64"/>
      <c r="IJ552" s="64"/>
      <c r="IK552" s="64"/>
      <c r="IL552" s="64"/>
      <c r="IM552" s="64"/>
      <c r="IN552" s="64"/>
      <c r="IO552" s="64"/>
      <c r="IP552" s="64"/>
      <c r="IQ552" s="64"/>
      <c r="IR552" s="64"/>
      <c r="IS552" s="64"/>
      <c r="IT552" s="64"/>
      <c r="IU552" s="64"/>
      <c r="IV552" s="64"/>
      <c r="IW552" s="64"/>
      <c r="IX552" s="64"/>
      <c r="IY552" s="64"/>
      <c r="IZ552" s="64"/>
      <c r="JA552" s="64"/>
      <c r="JB552" s="64"/>
      <c r="JC552" s="64"/>
      <c r="JD552" s="64"/>
      <c r="JE552" s="64"/>
      <c r="JF552" s="64"/>
      <c r="JG552" s="64"/>
      <c r="JH552" s="64"/>
      <c r="JI552" s="64"/>
    </row>
    <row r="553" spans="1:269" s="920" customFormat="1" x14ac:dyDescent="0.2">
      <c r="A553" s="116"/>
      <c r="B553" s="64"/>
      <c r="C553" s="64"/>
      <c r="D553" s="64"/>
      <c r="E553" s="64"/>
      <c r="F553" s="64"/>
      <c r="G553" s="64"/>
      <c r="H553" s="64"/>
      <c r="I553" s="64"/>
      <c r="J553" s="116"/>
      <c r="K553" s="116"/>
      <c r="L553" s="116"/>
      <c r="M553" s="116"/>
      <c r="N553" s="116"/>
      <c r="O553" s="116"/>
      <c r="P553" s="116"/>
      <c r="Q553" s="102"/>
      <c r="R553" s="102"/>
      <c r="S553" s="102"/>
      <c r="T553" s="102"/>
      <c r="U553" s="913"/>
      <c r="V553" s="114"/>
      <c r="W553" s="805"/>
      <c r="X553" s="805"/>
      <c r="Y553" s="805"/>
      <c r="Z553" s="914"/>
      <c r="AA553" s="102"/>
      <c r="AB553" s="102"/>
      <c r="AC553" s="102"/>
      <c r="AD553" s="102"/>
      <c r="AE553" s="102"/>
      <c r="AF553" s="102"/>
      <c r="AG553" s="102"/>
      <c r="AH553" s="102"/>
      <c r="AI553" s="102"/>
      <c r="AJ553" s="906"/>
      <c r="AK553" s="102"/>
      <c r="AL553" s="915"/>
      <c r="AM553" s="915"/>
      <c r="AN553" s="114"/>
      <c r="AO553" s="64"/>
      <c r="AP553" s="64"/>
      <c r="AQ553" s="64"/>
      <c r="AR553" s="916"/>
      <c r="AS553" s="916"/>
      <c r="AT553" s="916"/>
      <c r="AU553" s="917"/>
      <c r="AV553" s="917"/>
      <c r="AW553" s="917"/>
      <c r="AX553" s="918"/>
      <c r="AY553" s="916"/>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917"/>
      <c r="CA553" s="917"/>
      <c r="CB553" s="64"/>
      <c r="CC553" s="919"/>
      <c r="CD553" s="919"/>
      <c r="CE553" s="64"/>
      <c r="CF553" s="528"/>
      <c r="CG553" s="529"/>
      <c r="CH553" s="64"/>
      <c r="CI553" s="64"/>
      <c r="CJ553" s="64"/>
      <c r="CK553" s="64"/>
      <c r="CL553" s="64"/>
      <c r="CM553" s="64"/>
      <c r="CN553" s="64"/>
      <c r="CO553" s="64"/>
      <c r="CP553" s="64"/>
      <c r="CQ553" s="64"/>
      <c r="CR553" s="64"/>
      <c r="CS553" s="64"/>
      <c r="CT553" s="64"/>
      <c r="CU553" s="64"/>
      <c r="CV553" s="64"/>
      <c r="CW553" s="64"/>
      <c r="CX553" s="64"/>
      <c r="CY553" s="1011"/>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c r="FC553" s="64"/>
      <c r="FD553" s="64"/>
      <c r="FE553" s="64"/>
      <c r="FF553" s="64"/>
      <c r="FG553" s="64"/>
      <c r="FH553" s="64"/>
      <c r="FI553" s="64"/>
      <c r="FJ553" s="64"/>
      <c r="FK553" s="64"/>
      <c r="FL553" s="64"/>
      <c r="FM553" s="64"/>
      <c r="FN553" s="64"/>
      <c r="FO553" s="64"/>
      <c r="FP553" s="64"/>
      <c r="FQ553" s="64"/>
      <c r="FR553" s="64"/>
      <c r="FS553" s="64"/>
      <c r="FT553" s="64"/>
      <c r="FU553" s="64"/>
      <c r="FV553" s="64"/>
      <c r="FW553" s="64"/>
      <c r="FX553" s="64"/>
      <c r="FY553" s="64"/>
      <c r="FZ553" s="64"/>
      <c r="GA553" s="64"/>
      <c r="GB553" s="64"/>
      <c r="GC553" s="64"/>
      <c r="GD553" s="64"/>
      <c r="GE553" s="64"/>
      <c r="GF553" s="64"/>
      <c r="GG553" s="64"/>
      <c r="GH553" s="64"/>
      <c r="GI553" s="64"/>
      <c r="GJ553" s="64"/>
      <c r="GK553" s="64"/>
      <c r="GL553" s="64"/>
      <c r="GM553" s="64"/>
      <c r="GN553" s="64"/>
      <c r="GO553" s="64"/>
      <c r="GP553" s="64"/>
      <c r="GQ553" s="64"/>
      <c r="GR553" s="64"/>
      <c r="GS553" s="64"/>
      <c r="GT553" s="64"/>
      <c r="GU553" s="64"/>
      <c r="GV553" s="64"/>
      <c r="GW553" s="64"/>
      <c r="GX553" s="64"/>
      <c r="GY553" s="64"/>
      <c r="GZ553" s="64"/>
      <c r="HA553" s="64"/>
      <c r="HB553" s="64"/>
      <c r="HC553" s="64"/>
      <c r="HD553" s="64"/>
      <c r="HE553" s="64"/>
      <c r="HF553" s="64"/>
      <c r="HG553" s="64"/>
      <c r="HH553" s="64"/>
      <c r="HI553" s="64"/>
      <c r="HJ553" s="64"/>
      <c r="HK553" s="64"/>
      <c r="HL553" s="64"/>
      <c r="HM553" s="64"/>
      <c r="HN553" s="64"/>
      <c r="HO553" s="64"/>
      <c r="HP553" s="64"/>
      <c r="HQ553" s="64"/>
      <c r="HR553" s="64"/>
      <c r="HS553" s="64"/>
      <c r="HT553" s="64"/>
      <c r="HU553" s="64"/>
      <c r="HV553" s="64"/>
      <c r="HW553" s="64"/>
      <c r="HX553" s="64"/>
      <c r="HY553" s="64"/>
      <c r="HZ553" s="64"/>
      <c r="IA553" s="64"/>
      <c r="IB553" s="64"/>
      <c r="IC553" s="64"/>
      <c r="ID553" s="64"/>
      <c r="IE553" s="64"/>
      <c r="IF553" s="64"/>
      <c r="IG553" s="64"/>
      <c r="IH553" s="64"/>
      <c r="II553" s="64"/>
      <c r="IJ553" s="64"/>
      <c r="IK553" s="64"/>
      <c r="IL553" s="64"/>
      <c r="IM553" s="64"/>
      <c r="IN553" s="64"/>
      <c r="IO553" s="64"/>
      <c r="IP553" s="64"/>
      <c r="IQ553" s="64"/>
      <c r="IR553" s="64"/>
      <c r="IS553" s="64"/>
      <c r="IT553" s="64"/>
      <c r="IU553" s="64"/>
      <c r="IV553" s="64"/>
      <c r="IW553" s="64"/>
      <c r="IX553" s="64"/>
      <c r="IY553" s="64"/>
      <c r="IZ553" s="64"/>
      <c r="JA553" s="64"/>
      <c r="JB553" s="64"/>
      <c r="JC553" s="64"/>
      <c r="JD553" s="64"/>
      <c r="JE553" s="64"/>
      <c r="JF553" s="64"/>
      <c r="JG553" s="64"/>
      <c r="JH553" s="64"/>
      <c r="JI553" s="64"/>
    </row>
    <row r="554" spans="1:269" s="920" customFormat="1" x14ac:dyDescent="0.2">
      <c r="A554" s="116"/>
      <c r="B554" s="64"/>
      <c r="C554" s="64"/>
      <c r="D554" s="64"/>
      <c r="E554" s="64"/>
      <c r="F554" s="64"/>
      <c r="G554" s="64"/>
      <c r="H554" s="64"/>
      <c r="I554" s="64"/>
      <c r="J554" s="116"/>
      <c r="K554" s="116"/>
      <c r="L554" s="116"/>
      <c r="M554" s="116"/>
      <c r="N554" s="116"/>
      <c r="O554" s="116"/>
      <c r="P554" s="116"/>
      <c r="Q554" s="102"/>
      <c r="R554" s="102"/>
      <c r="S554" s="102"/>
      <c r="T554" s="102"/>
      <c r="U554" s="913"/>
      <c r="V554" s="114"/>
      <c r="W554" s="805"/>
      <c r="X554" s="805"/>
      <c r="Y554" s="805"/>
      <c r="Z554" s="914"/>
      <c r="AA554" s="102"/>
      <c r="AB554" s="102"/>
      <c r="AC554" s="102"/>
      <c r="AD554" s="102"/>
      <c r="AE554" s="102"/>
      <c r="AF554" s="102"/>
      <c r="AG554" s="102"/>
      <c r="AH554" s="102"/>
      <c r="AI554" s="102"/>
      <c r="AJ554" s="906"/>
      <c r="AK554" s="102"/>
      <c r="AL554" s="915"/>
      <c r="AM554" s="915"/>
      <c r="AN554" s="114"/>
      <c r="AO554" s="64"/>
      <c r="AP554" s="64"/>
      <c r="AQ554" s="64"/>
      <c r="AR554" s="916"/>
      <c r="AS554" s="916"/>
      <c r="AT554" s="916"/>
      <c r="AU554" s="917"/>
      <c r="AV554" s="917"/>
      <c r="AW554" s="917"/>
      <c r="AX554" s="918"/>
      <c r="AY554" s="916"/>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917"/>
      <c r="CA554" s="917"/>
      <c r="CB554" s="64"/>
      <c r="CC554" s="919"/>
      <c r="CD554" s="919"/>
      <c r="CE554" s="64"/>
      <c r="CF554" s="528"/>
      <c r="CG554" s="529"/>
      <c r="CH554" s="64"/>
      <c r="CI554" s="64"/>
      <c r="CJ554" s="64"/>
      <c r="CK554" s="64"/>
      <c r="CL554" s="64"/>
      <c r="CM554" s="64"/>
      <c r="CN554" s="64"/>
      <c r="CO554" s="64"/>
      <c r="CP554" s="64"/>
      <c r="CQ554" s="64"/>
      <c r="CR554" s="64"/>
      <c r="CS554" s="64"/>
      <c r="CT554" s="64"/>
      <c r="CU554" s="64"/>
      <c r="CV554" s="64"/>
      <c r="CW554" s="64"/>
      <c r="CX554" s="64"/>
      <c r="CY554" s="1011"/>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c r="FC554" s="64"/>
      <c r="FD554" s="64"/>
      <c r="FE554" s="64"/>
      <c r="FF554" s="64"/>
      <c r="FG554" s="64"/>
      <c r="FH554" s="64"/>
      <c r="FI554" s="64"/>
      <c r="FJ554" s="64"/>
      <c r="FK554" s="64"/>
      <c r="FL554" s="64"/>
      <c r="FM554" s="64"/>
      <c r="FN554" s="64"/>
      <c r="FO554" s="64"/>
      <c r="FP554" s="64"/>
      <c r="FQ554" s="64"/>
      <c r="FR554" s="64"/>
      <c r="FS554" s="64"/>
      <c r="FT554" s="64"/>
      <c r="FU554" s="64"/>
      <c r="FV554" s="64"/>
      <c r="FW554" s="64"/>
      <c r="FX554" s="64"/>
      <c r="FY554" s="64"/>
      <c r="FZ554" s="64"/>
      <c r="GA554" s="64"/>
      <c r="GB554" s="64"/>
      <c r="GC554" s="64"/>
      <c r="GD554" s="64"/>
      <c r="GE554" s="64"/>
      <c r="GF554" s="64"/>
      <c r="GG554" s="64"/>
      <c r="GH554" s="64"/>
      <c r="GI554" s="64"/>
      <c r="GJ554" s="64"/>
      <c r="GK554" s="64"/>
      <c r="GL554" s="64"/>
      <c r="GM554" s="64"/>
      <c r="GN554" s="64"/>
      <c r="GO554" s="64"/>
      <c r="GP554" s="64"/>
      <c r="GQ554" s="64"/>
      <c r="GR554" s="64"/>
      <c r="GS554" s="64"/>
      <c r="GT554" s="64"/>
      <c r="GU554" s="64"/>
      <c r="GV554" s="64"/>
      <c r="GW554" s="64"/>
      <c r="GX554" s="64"/>
      <c r="GY554" s="64"/>
      <c r="GZ554" s="64"/>
      <c r="HA554" s="64"/>
      <c r="HB554" s="64"/>
      <c r="HC554" s="64"/>
      <c r="HD554" s="64"/>
      <c r="HE554" s="64"/>
      <c r="HF554" s="64"/>
      <c r="HG554" s="64"/>
      <c r="HH554" s="64"/>
      <c r="HI554" s="64"/>
      <c r="HJ554" s="64"/>
      <c r="HK554" s="64"/>
      <c r="HL554" s="64"/>
      <c r="HM554" s="64"/>
      <c r="HN554" s="64"/>
      <c r="HO554" s="64"/>
      <c r="HP554" s="64"/>
      <c r="HQ554" s="64"/>
      <c r="HR554" s="64"/>
      <c r="HS554" s="64"/>
      <c r="HT554" s="64"/>
      <c r="HU554" s="64"/>
      <c r="HV554" s="64"/>
      <c r="HW554" s="64"/>
      <c r="HX554" s="64"/>
      <c r="HY554" s="64"/>
      <c r="HZ554" s="64"/>
      <c r="IA554" s="64"/>
      <c r="IB554" s="64"/>
      <c r="IC554" s="64"/>
      <c r="ID554" s="64"/>
      <c r="IE554" s="64"/>
      <c r="IF554" s="64"/>
      <c r="IG554" s="64"/>
      <c r="IH554" s="64"/>
      <c r="II554" s="64"/>
      <c r="IJ554" s="64"/>
      <c r="IK554" s="64"/>
      <c r="IL554" s="64"/>
      <c r="IM554" s="64"/>
      <c r="IN554" s="64"/>
      <c r="IO554" s="64"/>
      <c r="IP554" s="64"/>
      <c r="IQ554" s="64"/>
      <c r="IR554" s="64"/>
      <c r="IS554" s="64"/>
      <c r="IT554" s="64"/>
      <c r="IU554" s="64"/>
      <c r="IV554" s="64"/>
      <c r="IW554" s="64"/>
      <c r="IX554" s="64"/>
      <c r="IY554" s="64"/>
      <c r="IZ554" s="64"/>
      <c r="JA554" s="64"/>
      <c r="JB554" s="64"/>
      <c r="JC554" s="64"/>
      <c r="JD554" s="64"/>
      <c r="JE554" s="64"/>
      <c r="JF554" s="64"/>
      <c r="JG554" s="64"/>
      <c r="JH554" s="64"/>
      <c r="JI554" s="64"/>
    </row>
    <row r="555" spans="1:269" s="920" customFormat="1" x14ac:dyDescent="0.2">
      <c r="A555" s="116"/>
      <c r="B555" s="64"/>
      <c r="C555" s="64"/>
      <c r="D555" s="64"/>
      <c r="E555" s="64"/>
      <c r="F555" s="64"/>
      <c r="G555" s="64"/>
      <c r="H555" s="64"/>
      <c r="I555" s="64"/>
      <c r="J555" s="116"/>
      <c r="K555" s="116"/>
      <c r="L555" s="116"/>
      <c r="M555" s="116"/>
      <c r="N555" s="116"/>
      <c r="O555" s="116"/>
      <c r="P555" s="116"/>
      <c r="Q555" s="102"/>
      <c r="R555" s="102"/>
      <c r="S555" s="102"/>
      <c r="T555" s="102"/>
      <c r="U555" s="913"/>
      <c r="V555" s="114"/>
      <c r="W555" s="805"/>
      <c r="X555" s="805"/>
      <c r="Y555" s="805"/>
      <c r="Z555" s="914"/>
      <c r="AA555" s="102"/>
      <c r="AB555" s="102"/>
      <c r="AC555" s="102"/>
      <c r="AD555" s="102"/>
      <c r="AE555" s="102"/>
      <c r="AF555" s="102"/>
      <c r="AG555" s="102"/>
      <c r="AH555" s="102"/>
      <c r="AI555" s="102"/>
      <c r="AJ555" s="906"/>
      <c r="AK555" s="102"/>
      <c r="AL555" s="915"/>
      <c r="AM555" s="915"/>
      <c r="AN555" s="114"/>
      <c r="AO555" s="64"/>
      <c r="AP555" s="64"/>
      <c r="AQ555" s="64"/>
      <c r="AR555" s="916"/>
      <c r="AS555" s="916"/>
      <c r="AT555" s="916"/>
      <c r="AU555" s="917"/>
      <c r="AV555" s="917"/>
      <c r="AW555" s="917"/>
      <c r="AX555" s="918"/>
      <c r="AY555" s="916"/>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917"/>
      <c r="CA555" s="917"/>
      <c r="CB555" s="64"/>
      <c r="CC555" s="919"/>
      <c r="CD555" s="919"/>
      <c r="CE555" s="64"/>
      <c r="CF555" s="528"/>
      <c r="CG555" s="529"/>
      <c r="CH555" s="64"/>
      <c r="CI555" s="64"/>
      <c r="CJ555" s="64"/>
      <c r="CK555" s="64"/>
      <c r="CL555" s="64"/>
      <c r="CM555" s="64"/>
      <c r="CN555" s="64"/>
      <c r="CO555" s="64"/>
      <c r="CP555" s="64"/>
      <c r="CQ555" s="64"/>
      <c r="CR555" s="64"/>
      <c r="CS555" s="64"/>
      <c r="CT555" s="64"/>
      <c r="CU555" s="64"/>
      <c r="CV555" s="64"/>
      <c r="CW555" s="64"/>
      <c r="CX555" s="64"/>
      <c r="CY555" s="1011"/>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c r="FC555" s="64"/>
      <c r="FD555" s="64"/>
      <c r="FE555" s="64"/>
      <c r="FF555" s="64"/>
      <c r="FG555" s="64"/>
      <c r="FH555" s="64"/>
      <c r="FI555" s="64"/>
      <c r="FJ555" s="64"/>
      <c r="FK555" s="64"/>
      <c r="FL555" s="64"/>
      <c r="FM555" s="64"/>
      <c r="FN555" s="64"/>
      <c r="FO555" s="64"/>
      <c r="FP555" s="64"/>
      <c r="FQ555" s="64"/>
      <c r="FR555" s="64"/>
      <c r="FS555" s="64"/>
      <c r="FT555" s="64"/>
      <c r="FU555" s="64"/>
      <c r="FV555" s="64"/>
      <c r="FW555" s="64"/>
      <c r="FX555" s="64"/>
      <c r="FY555" s="64"/>
      <c r="FZ555" s="64"/>
      <c r="GA555" s="64"/>
      <c r="GB555" s="64"/>
      <c r="GC555" s="64"/>
      <c r="GD555" s="64"/>
      <c r="GE555" s="64"/>
      <c r="GF555" s="64"/>
      <c r="GG555" s="64"/>
      <c r="GH555" s="64"/>
      <c r="GI555" s="64"/>
      <c r="GJ555" s="64"/>
      <c r="GK555" s="64"/>
      <c r="GL555" s="64"/>
      <c r="GM555" s="64"/>
      <c r="GN555" s="64"/>
      <c r="GO555" s="64"/>
      <c r="GP555" s="64"/>
      <c r="GQ555" s="64"/>
      <c r="GR555" s="64"/>
      <c r="GS555" s="64"/>
      <c r="GT555" s="64"/>
      <c r="GU555" s="64"/>
      <c r="GV555" s="64"/>
      <c r="GW555" s="64"/>
      <c r="GX555" s="64"/>
      <c r="GY555" s="64"/>
      <c r="GZ555" s="64"/>
      <c r="HA555" s="64"/>
      <c r="HB555" s="64"/>
      <c r="HC555" s="64"/>
      <c r="HD555" s="64"/>
      <c r="HE555" s="64"/>
      <c r="HF555" s="64"/>
      <c r="HG555" s="64"/>
      <c r="HH555" s="64"/>
      <c r="HI555" s="64"/>
      <c r="HJ555" s="64"/>
      <c r="HK555" s="64"/>
      <c r="HL555" s="64"/>
      <c r="HM555" s="64"/>
      <c r="HN555" s="64"/>
      <c r="HO555" s="64"/>
      <c r="HP555" s="64"/>
      <c r="HQ555" s="64"/>
      <c r="HR555" s="64"/>
      <c r="HS555" s="64"/>
      <c r="HT555" s="64"/>
      <c r="HU555" s="64"/>
      <c r="HV555" s="64"/>
      <c r="HW555" s="64"/>
      <c r="HX555" s="64"/>
      <c r="HY555" s="64"/>
      <c r="HZ555" s="64"/>
      <c r="IA555" s="64"/>
      <c r="IB555" s="64"/>
      <c r="IC555" s="64"/>
      <c r="ID555" s="64"/>
      <c r="IE555" s="64"/>
      <c r="IF555" s="64"/>
      <c r="IG555" s="64"/>
      <c r="IH555" s="64"/>
      <c r="II555" s="64"/>
      <c r="IJ555" s="64"/>
      <c r="IK555" s="64"/>
      <c r="IL555" s="64"/>
      <c r="IM555" s="64"/>
      <c r="IN555" s="64"/>
      <c r="IO555" s="64"/>
      <c r="IP555" s="64"/>
      <c r="IQ555" s="64"/>
      <c r="IR555" s="64"/>
      <c r="IS555" s="64"/>
      <c r="IT555" s="64"/>
      <c r="IU555" s="64"/>
      <c r="IV555" s="64"/>
      <c r="IW555" s="64"/>
      <c r="IX555" s="64"/>
      <c r="IY555" s="64"/>
      <c r="IZ555" s="64"/>
      <c r="JA555" s="64"/>
      <c r="JB555" s="64"/>
      <c r="JC555" s="64"/>
      <c r="JD555" s="64"/>
      <c r="JE555" s="64"/>
      <c r="JF555" s="64"/>
      <c r="JG555" s="64"/>
      <c r="JH555" s="64"/>
      <c r="JI555" s="64"/>
    </row>
    <row r="556" spans="1:269" s="920" customFormat="1" x14ac:dyDescent="0.2">
      <c r="A556" s="116"/>
      <c r="B556" s="64"/>
      <c r="C556" s="64"/>
      <c r="D556" s="64"/>
      <c r="E556" s="64"/>
      <c r="F556" s="64"/>
      <c r="G556" s="64"/>
      <c r="H556" s="64"/>
      <c r="I556" s="64"/>
      <c r="J556" s="116"/>
      <c r="K556" s="116"/>
      <c r="L556" s="116"/>
      <c r="M556" s="116"/>
      <c r="N556" s="116"/>
      <c r="O556" s="116"/>
      <c r="P556" s="116"/>
      <c r="Q556" s="102"/>
      <c r="R556" s="102"/>
      <c r="S556" s="102"/>
      <c r="T556" s="102"/>
      <c r="U556" s="913"/>
      <c r="V556" s="114"/>
      <c r="W556" s="805"/>
      <c r="X556" s="805"/>
      <c r="Y556" s="805"/>
      <c r="Z556" s="914"/>
      <c r="AA556" s="102"/>
      <c r="AB556" s="102"/>
      <c r="AC556" s="102"/>
      <c r="AD556" s="102"/>
      <c r="AE556" s="102"/>
      <c r="AF556" s="102"/>
      <c r="AG556" s="102"/>
      <c r="AH556" s="102"/>
      <c r="AI556" s="102"/>
      <c r="AJ556" s="906"/>
      <c r="AK556" s="102"/>
      <c r="AL556" s="915"/>
      <c r="AM556" s="915"/>
      <c r="AN556" s="114"/>
      <c r="AO556" s="64"/>
      <c r="AP556" s="64"/>
      <c r="AQ556" s="64"/>
      <c r="AR556" s="916"/>
      <c r="AS556" s="916"/>
      <c r="AT556" s="916"/>
      <c r="AU556" s="917"/>
      <c r="AV556" s="917"/>
      <c r="AW556" s="917"/>
      <c r="AX556" s="918"/>
      <c r="AY556" s="916"/>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917"/>
      <c r="CA556" s="917"/>
      <c r="CB556" s="64"/>
      <c r="CC556" s="919"/>
      <c r="CD556" s="919"/>
      <c r="CE556" s="64"/>
      <c r="CF556" s="528"/>
      <c r="CG556" s="529"/>
      <c r="CH556" s="64"/>
      <c r="CI556" s="64"/>
      <c r="CJ556" s="64"/>
      <c r="CK556" s="64"/>
      <c r="CL556" s="64"/>
      <c r="CM556" s="64"/>
      <c r="CN556" s="64"/>
      <c r="CO556" s="64"/>
      <c r="CP556" s="64"/>
      <c r="CQ556" s="64"/>
      <c r="CR556" s="64"/>
      <c r="CS556" s="64"/>
      <c r="CT556" s="64"/>
      <c r="CU556" s="64"/>
      <c r="CV556" s="64"/>
      <c r="CW556" s="64"/>
      <c r="CX556" s="64"/>
      <c r="CY556" s="1011"/>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c r="FC556" s="64"/>
      <c r="FD556" s="64"/>
      <c r="FE556" s="64"/>
      <c r="FF556" s="64"/>
      <c r="FG556" s="64"/>
      <c r="FH556" s="64"/>
      <c r="FI556" s="64"/>
      <c r="FJ556" s="64"/>
      <c r="FK556" s="64"/>
      <c r="FL556" s="64"/>
      <c r="FM556" s="64"/>
      <c r="FN556" s="64"/>
      <c r="FO556" s="64"/>
      <c r="FP556" s="64"/>
      <c r="FQ556" s="64"/>
      <c r="FR556" s="64"/>
      <c r="FS556" s="64"/>
      <c r="FT556" s="64"/>
      <c r="FU556" s="64"/>
      <c r="FV556" s="64"/>
      <c r="FW556" s="64"/>
      <c r="FX556" s="64"/>
      <c r="FY556" s="64"/>
      <c r="FZ556" s="64"/>
      <c r="GA556" s="64"/>
      <c r="GB556" s="64"/>
      <c r="GC556" s="64"/>
      <c r="GD556" s="64"/>
      <c r="GE556" s="64"/>
      <c r="GF556" s="64"/>
      <c r="GG556" s="64"/>
      <c r="GH556" s="64"/>
      <c r="GI556" s="64"/>
      <c r="GJ556" s="64"/>
      <c r="GK556" s="64"/>
      <c r="GL556" s="64"/>
      <c r="GM556" s="64"/>
      <c r="GN556" s="64"/>
      <c r="GO556" s="64"/>
      <c r="GP556" s="64"/>
      <c r="GQ556" s="64"/>
      <c r="GR556" s="64"/>
      <c r="GS556" s="64"/>
      <c r="GT556" s="64"/>
      <c r="GU556" s="64"/>
      <c r="GV556" s="64"/>
      <c r="GW556" s="64"/>
      <c r="GX556" s="64"/>
      <c r="GY556" s="64"/>
      <c r="GZ556" s="64"/>
      <c r="HA556" s="64"/>
      <c r="HB556" s="64"/>
      <c r="HC556" s="64"/>
      <c r="HD556" s="64"/>
      <c r="HE556" s="64"/>
      <c r="HF556" s="64"/>
      <c r="HG556" s="64"/>
      <c r="HH556" s="64"/>
      <c r="HI556" s="64"/>
      <c r="HJ556" s="64"/>
      <c r="HK556" s="64"/>
      <c r="HL556" s="64"/>
      <c r="HM556" s="64"/>
      <c r="HN556" s="64"/>
      <c r="HO556" s="64"/>
      <c r="HP556" s="64"/>
      <c r="HQ556" s="64"/>
      <c r="HR556" s="64"/>
      <c r="HS556" s="64"/>
      <c r="HT556" s="64"/>
      <c r="HU556" s="64"/>
      <c r="HV556" s="64"/>
      <c r="HW556" s="64"/>
      <c r="HX556" s="64"/>
      <c r="HY556" s="64"/>
      <c r="HZ556" s="64"/>
      <c r="IA556" s="64"/>
      <c r="IB556" s="64"/>
      <c r="IC556" s="64"/>
      <c r="ID556" s="64"/>
      <c r="IE556" s="64"/>
      <c r="IF556" s="64"/>
      <c r="IG556" s="64"/>
      <c r="IH556" s="64"/>
      <c r="II556" s="64"/>
      <c r="IJ556" s="64"/>
      <c r="IK556" s="64"/>
      <c r="IL556" s="64"/>
      <c r="IM556" s="64"/>
      <c r="IN556" s="64"/>
      <c r="IO556" s="64"/>
      <c r="IP556" s="64"/>
      <c r="IQ556" s="64"/>
      <c r="IR556" s="64"/>
      <c r="IS556" s="64"/>
      <c r="IT556" s="64"/>
      <c r="IU556" s="64"/>
      <c r="IV556" s="64"/>
      <c r="IW556" s="64"/>
      <c r="IX556" s="64"/>
      <c r="IY556" s="64"/>
      <c r="IZ556" s="64"/>
      <c r="JA556" s="64"/>
      <c r="JB556" s="64"/>
      <c r="JC556" s="64"/>
      <c r="JD556" s="64"/>
      <c r="JE556" s="64"/>
      <c r="JF556" s="64"/>
      <c r="JG556" s="64"/>
      <c r="JH556" s="64"/>
      <c r="JI556" s="64"/>
    </row>
    <row r="557" spans="1:269" s="920" customFormat="1" x14ac:dyDescent="0.2">
      <c r="A557" s="116"/>
      <c r="B557" s="64"/>
      <c r="C557" s="64"/>
      <c r="D557" s="64"/>
      <c r="E557" s="64"/>
      <c r="F557" s="64"/>
      <c r="G557" s="64"/>
      <c r="H557" s="64"/>
      <c r="I557" s="64"/>
      <c r="J557" s="116"/>
      <c r="K557" s="116"/>
      <c r="L557" s="116"/>
      <c r="M557" s="116"/>
      <c r="N557" s="116"/>
      <c r="O557" s="116"/>
      <c r="P557" s="116"/>
      <c r="Q557" s="102"/>
      <c r="R557" s="102"/>
      <c r="S557" s="102"/>
      <c r="T557" s="102"/>
      <c r="U557" s="913"/>
      <c r="V557" s="114"/>
      <c r="W557" s="805"/>
      <c r="X557" s="805"/>
      <c r="Y557" s="805"/>
      <c r="Z557" s="914"/>
      <c r="AA557" s="102"/>
      <c r="AB557" s="102"/>
      <c r="AC557" s="102"/>
      <c r="AD557" s="102"/>
      <c r="AE557" s="102"/>
      <c r="AF557" s="102"/>
      <c r="AG557" s="102"/>
      <c r="AH557" s="102"/>
      <c r="AI557" s="102"/>
      <c r="AJ557" s="906"/>
      <c r="AK557" s="102"/>
      <c r="AL557" s="915"/>
      <c r="AM557" s="915"/>
      <c r="AN557" s="114"/>
      <c r="AO557" s="64"/>
      <c r="AP557" s="64"/>
      <c r="AQ557" s="64"/>
      <c r="AR557" s="916"/>
      <c r="AS557" s="916"/>
      <c r="AT557" s="916"/>
      <c r="AU557" s="917"/>
      <c r="AV557" s="917"/>
      <c r="AW557" s="917"/>
      <c r="AX557" s="918"/>
      <c r="AY557" s="916"/>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917"/>
      <c r="CA557" s="917"/>
      <c r="CB557" s="64"/>
      <c r="CC557" s="919"/>
      <c r="CD557" s="919"/>
      <c r="CE557" s="64"/>
      <c r="CF557" s="528"/>
      <c r="CG557" s="529"/>
      <c r="CH557" s="64"/>
      <c r="CI557" s="64"/>
      <c r="CJ557" s="64"/>
      <c r="CK557" s="64"/>
      <c r="CL557" s="64"/>
      <c r="CM557" s="64"/>
      <c r="CN557" s="64"/>
      <c r="CO557" s="64"/>
      <c r="CP557" s="64"/>
      <c r="CQ557" s="64"/>
      <c r="CR557" s="64"/>
      <c r="CS557" s="64"/>
      <c r="CT557" s="64"/>
      <c r="CU557" s="64"/>
      <c r="CV557" s="64"/>
      <c r="CW557" s="64"/>
      <c r="CX557" s="64"/>
      <c r="CY557" s="1011"/>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c r="FC557" s="64"/>
      <c r="FD557" s="64"/>
      <c r="FE557" s="64"/>
      <c r="FF557" s="64"/>
      <c r="FG557" s="64"/>
      <c r="FH557" s="64"/>
      <c r="FI557" s="64"/>
      <c r="FJ557" s="64"/>
      <c r="FK557" s="64"/>
      <c r="FL557" s="64"/>
      <c r="FM557" s="64"/>
      <c r="FN557" s="64"/>
      <c r="FO557" s="64"/>
      <c r="FP557" s="64"/>
      <c r="FQ557" s="64"/>
      <c r="FR557" s="64"/>
      <c r="FS557" s="64"/>
      <c r="FT557" s="64"/>
      <c r="FU557" s="64"/>
      <c r="FV557" s="64"/>
      <c r="FW557" s="64"/>
      <c r="FX557" s="64"/>
      <c r="FY557" s="64"/>
      <c r="FZ557" s="64"/>
      <c r="GA557" s="64"/>
      <c r="GB557" s="64"/>
      <c r="GC557" s="64"/>
      <c r="GD557" s="64"/>
      <c r="GE557" s="64"/>
      <c r="GF557" s="64"/>
      <c r="GG557" s="64"/>
      <c r="GH557" s="64"/>
      <c r="GI557" s="64"/>
      <c r="GJ557" s="64"/>
      <c r="GK557" s="64"/>
      <c r="GL557" s="64"/>
      <c r="GM557" s="64"/>
      <c r="GN557" s="64"/>
      <c r="GO557" s="64"/>
      <c r="GP557" s="64"/>
      <c r="GQ557" s="64"/>
      <c r="GR557" s="64"/>
      <c r="GS557" s="64"/>
      <c r="GT557" s="64"/>
      <c r="GU557" s="64"/>
      <c r="GV557" s="64"/>
      <c r="GW557" s="64"/>
      <c r="GX557" s="64"/>
      <c r="GY557" s="64"/>
      <c r="GZ557" s="64"/>
      <c r="HA557" s="64"/>
      <c r="HB557" s="64"/>
      <c r="HC557" s="64"/>
      <c r="HD557" s="64"/>
      <c r="HE557" s="64"/>
      <c r="HF557" s="64"/>
      <c r="HG557" s="64"/>
      <c r="HH557" s="64"/>
      <c r="HI557" s="64"/>
      <c r="HJ557" s="64"/>
      <c r="HK557" s="64"/>
      <c r="HL557" s="64"/>
      <c r="HM557" s="64"/>
      <c r="HN557" s="64"/>
      <c r="HO557" s="64"/>
      <c r="HP557" s="64"/>
      <c r="HQ557" s="64"/>
      <c r="HR557" s="64"/>
      <c r="HS557" s="64"/>
      <c r="HT557" s="64"/>
      <c r="HU557" s="64"/>
      <c r="HV557" s="64"/>
      <c r="HW557" s="64"/>
      <c r="HX557" s="64"/>
      <c r="HY557" s="64"/>
      <c r="HZ557" s="64"/>
      <c r="IA557" s="64"/>
      <c r="IB557" s="64"/>
      <c r="IC557" s="64"/>
      <c r="ID557" s="64"/>
      <c r="IE557" s="64"/>
      <c r="IF557" s="64"/>
      <c r="IG557" s="64"/>
      <c r="IH557" s="64"/>
      <c r="II557" s="64"/>
      <c r="IJ557" s="64"/>
      <c r="IK557" s="64"/>
      <c r="IL557" s="64"/>
      <c r="IM557" s="64"/>
      <c r="IN557" s="64"/>
      <c r="IO557" s="64"/>
      <c r="IP557" s="64"/>
      <c r="IQ557" s="64"/>
      <c r="IR557" s="64"/>
      <c r="IS557" s="64"/>
      <c r="IT557" s="64"/>
      <c r="IU557" s="64"/>
      <c r="IV557" s="64"/>
      <c r="IW557" s="64"/>
      <c r="IX557" s="64"/>
      <c r="IY557" s="64"/>
      <c r="IZ557" s="64"/>
      <c r="JA557" s="64"/>
      <c r="JB557" s="64"/>
      <c r="JC557" s="64"/>
      <c r="JD557" s="64"/>
      <c r="JE557" s="64"/>
      <c r="JF557" s="64"/>
      <c r="JG557" s="64"/>
      <c r="JH557" s="64"/>
      <c r="JI557" s="64"/>
    </row>
    <row r="558" spans="1:269" s="920" customFormat="1" x14ac:dyDescent="0.2">
      <c r="A558" s="116"/>
      <c r="B558" s="64"/>
      <c r="C558" s="64"/>
      <c r="D558" s="64"/>
      <c r="E558" s="64"/>
      <c r="F558" s="64"/>
      <c r="G558" s="64"/>
      <c r="H558" s="64"/>
      <c r="I558" s="64"/>
      <c r="J558" s="116"/>
      <c r="K558" s="116"/>
      <c r="L558" s="116"/>
      <c r="M558" s="116"/>
      <c r="N558" s="116"/>
      <c r="O558" s="116"/>
      <c r="P558" s="116"/>
      <c r="Q558" s="102"/>
      <c r="R558" s="102"/>
      <c r="S558" s="102"/>
      <c r="T558" s="102"/>
      <c r="U558" s="913"/>
      <c r="V558" s="114"/>
      <c r="W558" s="805"/>
      <c r="X558" s="805"/>
      <c r="Y558" s="805"/>
      <c r="Z558" s="914"/>
      <c r="AA558" s="102"/>
      <c r="AB558" s="102"/>
      <c r="AC558" s="102"/>
      <c r="AD558" s="102"/>
      <c r="AE558" s="102"/>
      <c r="AF558" s="102"/>
      <c r="AG558" s="102"/>
      <c r="AH558" s="102"/>
      <c r="AI558" s="102"/>
      <c r="AJ558" s="906"/>
      <c r="AK558" s="102"/>
      <c r="AL558" s="915"/>
      <c r="AM558" s="915"/>
      <c r="AN558" s="114"/>
      <c r="AO558" s="64"/>
      <c r="AP558" s="64"/>
      <c r="AQ558" s="64"/>
      <c r="AR558" s="916"/>
      <c r="AS558" s="916"/>
      <c r="AT558" s="916"/>
      <c r="AU558" s="917"/>
      <c r="AV558" s="917"/>
      <c r="AW558" s="917"/>
      <c r="AX558" s="918"/>
      <c r="AY558" s="916"/>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917"/>
      <c r="CA558" s="917"/>
      <c r="CB558" s="64"/>
      <c r="CC558" s="919"/>
      <c r="CD558" s="919"/>
      <c r="CE558" s="64"/>
      <c r="CF558" s="528"/>
      <c r="CG558" s="529"/>
      <c r="CH558" s="64"/>
      <c r="CI558" s="64"/>
      <c r="CJ558" s="64"/>
      <c r="CK558" s="64"/>
      <c r="CL558" s="64"/>
      <c r="CM558" s="64"/>
      <c r="CN558" s="64"/>
      <c r="CO558" s="64"/>
      <c r="CP558" s="64"/>
      <c r="CQ558" s="64"/>
      <c r="CR558" s="64"/>
      <c r="CS558" s="64"/>
      <c r="CT558" s="64"/>
      <c r="CU558" s="64"/>
      <c r="CV558" s="64"/>
      <c r="CW558" s="64"/>
      <c r="CX558" s="64"/>
      <c r="CY558" s="1011"/>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c r="FC558" s="64"/>
      <c r="FD558" s="64"/>
      <c r="FE558" s="64"/>
      <c r="FF558" s="64"/>
      <c r="FG558" s="64"/>
      <c r="FH558" s="64"/>
      <c r="FI558" s="64"/>
      <c r="FJ558" s="64"/>
      <c r="FK558" s="64"/>
      <c r="FL558" s="64"/>
      <c r="FM558" s="64"/>
      <c r="FN558" s="64"/>
      <c r="FO558" s="64"/>
      <c r="FP558" s="64"/>
      <c r="FQ558" s="64"/>
      <c r="FR558" s="64"/>
      <c r="FS558" s="64"/>
      <c r="FT558" s="64"/>
      <c r="FU558" s="64"/>
      <c r="FV558" s="64"/>
      <c r="FW558" s="64"/>
      <c r="FX558" s="64"/>
      <c r="FY558" s="64"/>
      <c r="FZ558" s="64"/>
      <c r="GA558" s="64"/>
      <c r="GB558" s="64"/>
      <c r="GC558" s="64"/>
      <c r="GD558" s="64"/>
      <c r="GE558" s="64"/>
      <c r="GF558" s="64"/>
      <c r="GG558" s="64"/>
      <c r="GH558" s="64"/>
      <c r="GI558" s="64"/>
      <c r="GJ558" s="64"/>
      <c r="GK558" s="64"/>
      <c r="GL558" s="64"/>
      <c r="GM558" s="64"/>
      <c r="GN558" s="64"/>
      <c r="GO558" s="64"/>
      <c r="GP558" s="64"/>
      <c r="GQ558" s="64"/>
      <c r="GR558" s="64"/>
      <c r="GS558" s="64"/>
      <c r="GT558" s="64"/>
      <c r="GU558" s="64"/>
      <c r="GV558" s="64"/>
      <c r="GW558" s="64"/>
      <c r="GX558" s="64"/>
      <c r="GY558" s="64"/>
      <c r="GZ558" s="64"/>
      <c r="HA558" s="64"/>
      <c r="HB558" s="64"/>
      <c r="HC558" s="64"/>
      <c r="HD558" s="64"/>
      <c r="HE558" s="64"/>
      <c r="HF558" s="64"/>
      <c r="HG558" s="64"/>
      <c r="HH558" s="64"/>
      <c r="HI558" s="64"/>
      <c r="HJ558" s="64"/>
      <c r="HK558" s="64"/>
      <c r="HL558" s="64"/>
      <c r="HM558" s="64"/>
      <c r="HN558" s="64"/>
      <c r="HO558" s="64"/>
      <c r="HP558" s="64"/>
      <c r="HQ558" s="64"/>
      <c r="HR558" s="64"/>
      <c r="HS558" s="64"/>
      <c r="HT558" s="64"/>
      <c r="HU558" s="64"/>
      <c r="HV558" s="64"/>
      <c r="HW558" s="64"/>
      <c r="HX558" s="64"/>
      <c r="HY558" s="64"/>
      <c r="HZ558" s="64"/>
      <c r="IA558" s="64"/>
      <c r="IB558" s="64"/>
      <c r="IC558" s="64"/>
      <c r="ID558" s="64"/>
      <c r="IE558" s="64"/>
      <c r="IF558" s="64"/>
      <c r="IG558" s="64"/>
      <c r="IH558" s="64"/>
      <c r="II558" s="64"/>
      <c r="IJ558" s="64"/>
      <c r="IK558" s="64"/>
      <c r="IL558" s="64"/>
      <c r="IM558" s="64"/>
      <c r="IN558" s="64"/>
      <c r="IO558" s="64"/>
      <c r="IP558" s="64"/>
      <c r="IQ558" s="64"/>
      <c r="IR558" s="64"/>
      <c r="IS558" s="64"/>
      <c r="IT558" s="64"/>
      <c r="IU558" s="64"/>
      <c r="IV558" s="64"/>
      <c r="IW558" s="64"/>
      <c r="IX558" s="64"/>
      <c r="IY558" s="64"/>
      <c r="IZ558" s="64"/>
      <c r="JA558" s="64"/>
      <c r="JB558" s="64"/>
      <c r="JC558" s="64"/>
      <c r="JD558" s="64"/>
      <c r="JE558" s="64"/>
      <c r="JF558" s="64"/>
      <c r="JG558" s="64"/>
      <c r="JH558" s="64"/>
      <c r="JI558" s="64"/>
    </row>
    <row r="559" spans="1:269" s="920" customFormat="1" x14ac:dyDescent="0.2">
      <c r="A559" s="116"/>
      <c r="B559" s="64"/>
      <c r="C559" s="64"/>
      <c r="D559" s="64"/>
      <c r="E559" s="64"/>
      <c r="F559" s="64"/>
      <c r="G559" s="64"/>
      <c r="H559" s="64"/>
      <c r="I559" s="64"/>
      <c r="J559" s="116"/>
      <c r="K559" s="116"/>
      <c r="L559" s="116"/>
      <c r="M559" s="116"/>
      <c r="N559" s="116"/>
      <c r="O559" s="116"/>
      <c r="P559" s="116"/>
      <c r="Q559" s="102"/>
      <c r="R559" s="102"/>
      <c r="S559" s="102"/>
      <c r="T559" s="102"/>
      <c r="U559" s="913"/>
      <c r="V559" s="114"/>
      <c r="W559" s="805"/>
      <c r="X559" s="805"/>
      <c r="Y559" s="805"/>
      <c r="Z559" s="914"/>
      <c r="AA559" s="102"/>
      <c r="AB559" s="102"/>
      <c r="AC559" s="102"/>
      <c r="AD559" s="102"/>
      <c r="AE559" s="102"/>
      <c r="AF559" s="102"/>
      <c r="AG559" s="102"/>
      <c r="AH559" s="102"/>
      <c r="AI559" s="102"/>
      <c r="AJ559" s="906"/>
      <c r="AK559" s="102"/>
      <c r="AL559" s="915"/>
      <c r="AM559" s="915"/>
      <c r="AN559" s="114"/>
      <c r="AO559" s="64"/>
      <c r="AP559" s="64"/>
      <c r="AQ559" s="64"/>
      <c r="AR559" s="916"/>
      <c r="AS559" s="916"/>
      <c r="AT559" s="916"/>
      <c r="AU559" s="917"/>
      <c r="AV559" s="917"/>
      <c r="AW559" s="917"/>
      <c r="AX559" s="918"/>
      <c r="AY559" s="916"/>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917"/>
      <c r="CA559" s="917"/>
      <c r="CB559" s="64"/>
      <c r="CC559" s="919"/>
      <c r="CD559" s="919"/>
      <c r="CE559" s="64"/>
      <c r="CF559" s="528"/>
      <c r="CG559" s="529"/>
      <c r="CH559" s="64"/>
      <c r="CI559" s="64"/>
      <c r="CJ559" s="64"/>
      <c r="CK559" s="64"/>
      <c r="CL559" s="64"/>
      <c r="CM559" s="64"/>
      <c r="CN559" s="64"/>
      <c r="CO559" s="64"/>
      <c r="CP559" s="64"/>
      <c r="CQ559" s="64"/>
      <c r="CR559" s="64"/>
      <c r="CS559" s="64"/>
      <c r="CT559" s="64"/>
      <c r="CU559" s="64"/>
      <c r="CV559" s="64"/>
      <c r="CW559" s="64"/>
      <c r="CX559" s="64"/>
      <c r="CY559" s="1011"/>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c r="FC559" s="64"/>
      <c r="FD559" s="64"/>
      <c r="FE559" s="64"/>
      <c r="FF559" s="64"/>
      <c r="FG559" s="64"/>
      <c r="FH559" s="64"/>
      <c r="FI559" s="64"/>
      <c r="FJ559" s="64"/>
      <c r="FK559" s="64"/>
      <c r="FL559" s="64"/>
      <c r="FM559" s="64"/>
      <c r="FN559" s="64"/>
      <c r="FO559" s="64"/>
      <c r="FP559" s="64"/>
      <c r="FQ559" s="64"/>
      <c r="FR559" s="64"/>
      <c r="FS559" s="64"/>
      <c r="FT559" s="64"/>
      <c r="FU559" s="64"/>
      <c r="FV559" s="64"/>
      <c r="FW559" s="64"/>
      <c r="FX559" s="64"/>
      <c r="FY559" s="64"/>
      <c r="FZ559" s="64"/>
      <c r="GA559" s="64"/>
      <c r="GB559" s="64"/>
      <c r="GC559" s="64"/>
      <c r="GD559" s="64"/>
      <c r="GE559" s="64"/>
      <c r="GF559" s="64"/>
      <c r="GG559" s="64"/>
      <c r="GH559" s="64"/>
      <c r="GI559" s="64"/>
      <c r="GJ559" s="64"/>
      <c r="GK559" s="64"/>
      <c r="GL559" s="64"/>
      <c r="GM559" s="64"/>
      <c r="GN559" s="64"/>
      <c r="GO559" s="64"/>
      <c r="GP559" s="64"/>
      <c r="GQ559" s="64"/>
      <c r="GR559" s="64"/>
      <c r="GS559" s="64"/>
      <c r="GT559" s="64"/>
      <c r="GU559" s="64"/>
      <c r="GV559" s="64"/>
      <c r="GW559" s="64"/>
      <c r="GX559" s="64"/>
      <c r="GY559" s="64"/>
      <c r="GZ559" s="64"/>
      <c r="HA559" s="64"/>
      <c r="HB559" s="64"/>
      <c r="HC559" s="64"/>
      <c r="HD559" s="64"/>
      <c r="HE559" s="64"/>
      <c r="HF559" s="64"/>
      <c r="HG559" s="64"/>
      <c r="HH559" s="64"/>
      <c r="HI559" s="64"/>
      <c r="HJ559" s="64"/>
      <c r="HK559" s="64"/>
      <c r="HL559" s="64"/>
      <c r="HM559" s="64"/>
      <c r="HN559" s="64"/>
      <c r="HO559" s="64"/>
      <c r="HP559" s="64"/>
      <c r="HQ559" s="64"/>
      <c r="HR559" s="64"/>
      <c r="HS559" s="64"/>
      <c r="HT559" s="64"/>
      <c r="HU559" s="64"/>
      <c r="HV559" s="64"/>
      <c r="HW559" s="64"/>
      <c r="HX559" s="64"/>
      <c r="HY559" s="64"/>
      <c r="HZ559" s="64"/>
      <c r="IA559" s="64"/>
      <c r="IB559" s="64"/>
      <c r="IC559" s="64"/>
      <c r="ID559" s="64"/>
      <c r="IE559" s="64"/>
      <c r="IF559" s="64"/>
      <c r="IG559" s="64"/>
      <c r="IH559" s="64"/>
      <c r="II559" s="64"/>
      <c r="IJ559" s="64"/>
      <c r="IK559" s="64"/>
      <c r="IL559" s="64"/>
      <c r="IM559" s="64"/>
      <c r="IN559" s="64"/>
      <c r="IO559" s="64"/>
      <c r="IP559" s="64"/>
      <c r="IQ559" s="64"/>
      <c r="IR559" s="64"/>
      <c r="IS559" s="64"/>
      <c r="IT559" s="64"/>
      <c r="IU559" s="64"/>
      <c r="IV559" s="64"/>
      <c r="IW559" s="64"/>
      <c r="IX559" s="64"/>
      <c r="IY559" s="64"/>
      <c r="IZ559" s="64"/>
      <c r="JA559" s="64"/>
      <c r="JB559" s="64"/>
      <c r="JC559" s="64"/>
      <c r="JD559" s="64"/>
      <c r="JE559" s="64"/>
      <c r="JF559" s="64"/>
      <c r="JG559" s="64"/>
      <c r="JH559" s="64"/>
      <c r="JI559" s="64"/>
    </row>
    <row r="560" spans="1:269" s="920" customFormat="1" x14ac:dyDescent="0.2">
      <c r="A560" s="116"/>
      <c r="B560" s="64"/>
      <c r="C560" s="64"/>
      <c r="D560" s="64"/>
      <c r="E560" s="64"/>
      <c r="F560" s="64"/>
      <c r="G560" s="64"/>
      <c r="H560" s="64"/>
      <c r="I560" s="64"/>
      <c r="J560" s="116"/>
      <c r="K560" s="116"/>
      <c r="L560" s="116"/>
      <c r="M560" s="116"/>
      <c r="N560" s="116"/>
      <c r="O560" s="116"/>
      <c r="P560" s="116"/>
      <c r="Q560" s="102"/>
      <c r="R560" s="102"/>
      <c r="S560" s="102"/>
      <c r="T560" s="102"/>
      <c r="U560" s="913"/>
      <c r="V560" s="114"/>
      <c r="W560" s="805"/>
      <c r="X560" s="805"/>
      <c r="Y560" s="805"/>
      <c r="Z560" s="914"/>
      <c r="AA560" s="102"/>
      <c r="AB560" s="102"/>
      <c r="AC560" s="102"/>
      <c r="AD560" s="102"/>
      <c r="AE560" s="102"/>
      <c r="AF560" s="102"/>
      <c r="AG560" s="102"/>
      <c r="AH560" s="102"/>
      <c r="AI560" s="102"/>
      <c r="AJ560" s="906"/>
      <c r="AK560" s="102"/>
      <c r="AL560" s="915"/>
      <c r="AM560" s="915"/>
      <c r="AN560" s="114"/>
      <c r="AO560" s="64"/>
      <c r="AP560" s="64"/>
      <c r="AQ560" s="64"/>
      <c r="AR560" s="916"/>
      <c r="AS560" s="916"/>
      <c r="AT560" s="916"/>
      <c r="AU560" s="917"/>
      <c r="AV560" s="917"/>
      <c r="AW560" s="917"/>
      <c r="AX560" s="918"/>
      <c r="AY560" s="916"/>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917"/>
      <c r="CA560" s="917"/>
      <c r="CB560" s="64"/>
      <c r="CC560" s="919"/>
      <c r="CD560" s="919"/>
      <c r="CE560" s="64"/>
      <c r="CF560" s="528"/>
      <c r="CG560" s="529"/>
      <c r="CH560" s="64"/>
      <c r="CI560" s="64"/>
      <c r="CJ560" s="64"/>
      <c r="CK560" s="64"/>
      <c r="CL560" s="64"/>
      <c r="CM560" s="64"/>
      <c r="CN560" s="64"/>
      <c r="CO560" s="64"/>
      <c r="CP560" s="64"/>
      <c r="CQ560" s="64"/>
      <c r="CR560" s="64"/>
      <c r="CS560" s="64"/>
      <c r="CT560" s="64"/>
      <c r="CU560" s="64"/>
      <c r="CV560" s="64"/>
      <c r="CW560" s="64"/>
      <c r="CX560" s="64"/>
      <c r="CY560" s="1011"/>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c r="FC560" s="64"/>
      <c r="FD560" s="64"/>
      <c r="FE560" s="64"/>
      <c r="FF560" s="64"/>
      <c r="FG560" s="64"/>
      <c r="FH560" s="64"/>
      <c r="FI560" s="64"/>
      <c r="FJ560" s="64"/>
      <c r="FK560" s="64"/>
      <c r="FL560" s="64"/>
      <c r="FM560" s="64"/>
      <c r="FN560" s="64"/>
      <c r="FO560" s="64"/>
      <c r="FP560" s="64"/>
      <c r="FQ560" s="64"/>
      <c r="FR560" s="64"/>
      <c r="FS560" s="64"/>
      <c r="FT560" s="64"/>
      <c r="FU560" s="64"/>
      <c r="FV560" s="64"/>
      <c r="FW560" s="64"/>
      <c r="FX560" s="64"/>
      <c r="FY560" s="64"/>
      <c r="FZ560" s="64"/>
      <c r="GA560" s="64"/>
      <c r="GB560" s="64"/>
      <c r="GC560" s="64"/>
      <c r="GD560" s="64"/>
      <c r="GE560" s="64"/>
      <c r="GF560" s="64"/>
      <c r="GG560" s="64"/>
      <c r="GH560" s="64"/>
      <c r="GI560" s="64"/>
      <c r="GJ560" s="64"/>
      <c r="GK560" s="64"/>
      <c r="GL560" s="64"/>
      <c r="GM560" s="64"/>
      <c r="GN560" s="64"/>
      <c r="GO560" s="64"/>
      <c r="GP560" s="64"/>
      <c r="GQ560" s="64"/>
      <c r="GR560" s="64"/>
      <c r="GS560" s="64"/>
      <c r="GT560" s="64"/>
      <c r="GU560" s="64"/>
      <c r="GV560" s="64"/>
      <c r="GW560" s="64"/>
      <c r="GX560" s="64"/>
      <c r="GY560" s="64"/>
      <c r="GZ560" s="64"/>
      <c r="HA560" s="64"/>
      <c r="HB560" s="64"/>
      <c r="HC560" s="64"/>
      <c r="HD560" s="64"/>
      <c r="HE560" s="64"/>
      <c r="HF560" s="64"/>
      <c r="HG560" s="64"/>
      <c r="HH560" s="64"/>
      <c r="HI560" s="64"/>
      <c r="HJ560" s="64"/>
      <c r="HK560" s="64"/>
      <c r="HL560" s="64"/>
      <c r="HM560" s="64"/>
      <c r="HN560" s="64"/>
      <c r="HO560" s="64"/>
      <c r="HP560" s="64"/>
      <c r="HQ560" s="64"/>
      <c r="HR560" s="64"/>
      <c r="HS560" s="64"/>
      <c r="HT560" s="64"/>
      <c r="HU560" s="64"/>
      <c r="HV560" s="64"/>
      <c r="HW560" s="64"/>
      <c r="HX560" s="64"/>
      <c r="HY560" s="64"/>
      <c r="HZ560" s="64"/>
      <c r="IA560" s="64"/>
      <c r="IB560" s="64"/>
      <c r="IC560" s="64"/>
      <c r="ID560" s="64"/>
      <c r="IE560" s="64"/>
      <c r="IF560" s="64"/>
      <c r="IG560" s="64"/>
      <c r="IH560" s="64"/>
      <c r="II560" s="64"/>
      <c r="IJ560" s="64"/>
      <c r="IK560" s="64"/>
      <c r="IL560" s="64"/>
      <c r="IM560" s="64"/>
      <c r="IN560" s="64"/>
      <c r="IO560" s="64"/>
      <c r="IP560" s="64"/>
      <c r="IQ560" s="64"/>
      <c r="IR560" s="64"/>
      <c r="IS560" s="64"/>
      <c r="IT560" s="64"/>
      <c r="IU560" s="64"/>
      <c r="IV560" s="64"/>
      <c r="IW560" s="64"/>
      <c r="IX560" s="64"/>
      <c r="IY560" s="64"/>
      <c r="IZ560" s="64"/>
      <c r="JA560" s="64"/>
      <c r="JB560" s="64"/>
      <c r="JC560" s="64"/>
      <c r="JD560" s="64"/>
      <c r="JE560" s="64"/>
      <c r="JF560" s="64"/>
      <c r="JG560" s="64"/>
      <c r="JH560" s="64"/>
      <c r="JI560" s="64"/>
    </row>
    <row r="561" spans="1:269" s="920" customFormat="1" x14ac:dyDescent="0.2">
      <c r="A561" s="116"/>
      <c r="B561" s="64"/>
      <c r="C561" s="64"/>
      <c r="D561" s="64"/>
      <c r="E561" s="64"/>
      <c r="F561" s="64"/>
      <c r="G561" s="64"/>
      <c r="H561" s="64"/>
      <c r="I561" s="64"/>
      <c r="J561" s="116"/>
      <c r="K561" s="116"/>
      <c r="L561" s="116"/>
      <c r="M561" s="116"/>
      <c r="N561" s="116"/>
      <c r="O561" s="116"/>
      <c r="P561" s="116"/>
      <c r="Q561" s="102"/>
      <c r="R561" s="102"/>
      <c r="S561" s="102"/>
      <c r="T561" s="102"/>
      <c r="U561" s="913"/>
      <c r="V561" s="114"/>
      <c r="W561" s="805"/>
      <c r="X561" s="805"/>
      <c r="Y561" s="805"/>
      <c r="Z561" s="914"/>
      <c r="AA561" s="102"/>
      <c r="AB561" s="102"/>
      <c r="AC561" s="102"/>
      <c r="AD561" s="102"/>
      <c r="AE561" s="102"/>
      <c r="AF561" s="102"/>
      <c r="AG561" s="102"/>
      <c r="AH561" s="102"/>
      <c r="AI561" s="102"/>
      <c r="AJ561" s="906"/>
      <c r="AK561" s="102"/>
      <c r="AL561" s="915"/>
      <c r="AM561" s="915"/>
      <c r="AN561" s="114"/>
      <c r="AO561" s="64"/>
      <c r="AP561" s="64"/>
      <c r="AQ561" s="64"/>
      <c r="AR561" s="916"/>
      <c r="AS561" s="916"/>
      <c r="AT561" s="916"/>
      <c r="AU561" s="917"/>
      <c r="AV561" s="917"/>
      <c r="AW561" s="917"/>
      <c r="AX561" s="918"/>
      <c r="AY561" s="916"/>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917"/>
      <c r="CA561" s="917"/>
      <c r="CB561" s="64"/>
      <c r="CC561" s="919"/>
      <c r="CD561" s="919"/>
      <c r="CE561" s="64"/>
      <c r="CF561" s="528"/>
      <c r="CG561" s="529"/>
      <c r="CH561" s="64"/>
      <c r="CI561" s="64"/>
      <c r="CJ561" s="64"/>
      <c r="CK561" s="64"/>
      <c r="CL561" s="64"/>
      <c r="CM561" s="64"/>
      <c r="CN561" s="64"/>
      <c r="CO561" s="64"/>
      <c r="CP561" s="64"/>
      <c r="CQ561" s="64"/>
      <c r="CR561" s="64"/>
      <c r="CS561" s="64"/>
      <c r="CT561" s="64"/>
      <c r="CU561" s="64"/>
      <c r="CV561" s="64"/>
      <c r="CW561" s="64"/>
      <c r="CX561" s="64"/>
      <c r="CY561" s="1011"/>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c r="FC561" s="64"/>
      <c r="FD561" s="64"/>
      <c r="FE561" s="64"/>
      <c r="FF561" s="64"/>
      <c r="FG561" s="64"/>
      <c r="FH561" s="64"/>
      <c r="FI561" s="64"/>
      <c r="FJ561" s="64"/>
      <c r="FK561" s="64"/>
      <c r="FL561" s="64"/>
      <c r="FM561" s="64"/>
      <c r="FN561" s="64"/>
      <c r="FO561" s="64"/>
      <c r="FP561" s="64"/>
      <c r="FQ561" s="64"/>
      <c r="FR561" s="64"/>
      <c r="FS561" s="64"/>
      <c r="FT561" s="64"/>
      <c r="FU561" s="64"/>
      <c r="FV561" s="64"/>
      <c r="FW561" s="64"/>
      <c r="FX561" s="64"/>
      <c r="FY561" s="64"/>
      <c r="FZ561" s="64"/>
      <c r="GA561" s="64"/>
      <c r="GB561" s="64"/>
      <c r="GC561" s="64"/>
      <c r="GD561" s="64"/>
      <c r="GE561" s="64"/>
      <c r="GF561" s="64"/>
      <c r="GG561" s="64"/>
      <c r="GH561" s="64"/>
      <c r="GI561" s="64"/>
      <c r="GJ561" s="64"/>
      <c r="GK561" s="64"/>
      <c r="GL561" s="64"/>
      <c r="GM561" s="64"/>
      <c r="GN561" s="64"/>
      <c r="GO561" s="64"/>
      <c r="GP561" s="64"/>
      <c r="GQ561" s="64"/>
      <c r="GR561" s="64"/>
      <c r="GS561" s="64"/>
      <c r="GT561" s="64"/>
      <c r="GU561" s="64"/>
      <c r="GV561" s="64"/>
      <c r="GW561" s="64"/>
      <c r="GX561" s="64"/>
      <c r="GY561" s="64"/>
      <c r="GZ561" s="64"/>
      <c r="HA561" s="64"/>
      <c r="HB561" s="64"/>
      <c r="HC561" s="64"/>
      <c r="HD561" s="64"/>
      <c r="HE561" s="64"/>
      <c r="HF561" s="64"/>
      <c r="HG561" s="64"/>
      <c r="HH561" s="64"/>
      <c r="HI561" s="64"/>
      <c r="HJ561" s="64"/>
      <c r="HK561" s="64"/>
      <c r="HL561" s="64"/>
      <c r="HM561" s="64"/>
      <c r="HN561" s="64"/>
      <c r="HO561" s="64"/>
      <c r="HP561" s="64"/>
      <c r="HQ561" s="64"/>
      <c r="HR561" s="64"/>
      <c r="HS561" s="64"/>
      <c r="HT561" s="64"/>
      <c r="HU561" s="64"/>
      <c r="HV561" s="64"/>
      <c r="HW561" s="64"/>
      <c r="HX561" s="64"/>
      <c r="HY561" s="64"/>
      <c r="HZ561" s="64"/>
      <c r="IA561" s="64"/>
      <c r="IB561" s="64"/>
      <c r="IC561" s="64"/>
      <c r="ID561" s="64"/>
      <c r="IE561" s="64"/>
      <c r="IF561" s="64"/>
      <c r="IG561" s="64"/>
      <c r="IH561" s="64"/>
      <c r="II561" s="64"/>
      <c r="IJ561" s="64"/>
      <c r="IK561" s="64"/>
      <c r="IL561" s="64"/>
      <c r="IM561" s="64"/>
      <c r="IN561" s="64"/>
      <c r="IO561" s="64"/>
      <c r="IP561" s="64"/>
      <c r="IQ561" s="64"/>
      <c r="IR561" s="64"/>
      <c r="IS561" s="64"/>
      <c r="IT561" s="64"/>
      <c r="IU561" s="64"/>
      <c r="IV561" s="64"/>
      <c r="IW561" s="64"/>
      <c r="IX561" s="64"/>
      <c r="IY561" s="64"/>
      <c r="IZ561" s="64"/>
      <c r="JA561" s="64"/>
      <c r="JB561" s="64"/>
      <c r="JC561" s="64"/>
      <c r="JD561" s="64"/>
      <c r="JE561" s="64"/>
      <c r="JF561" s="64"/>
      <c r="JG561" s="64"/>
      <c r="JH561" s="64"/>
      <c r="JI561" s="64"/>
    </row>
    <row r="562" spans="1:269" s="920" customFormat="1" x14ac:dyDescent="0.2">
      <c r="A562" s="116"/>
      <c r="B562" s="64"/>
      <c r="C562" s="64"/>
      <c r="D562" s="64"/>
      <c r="E562" s="64"/>
      <c r="F562" s="64"/>
      <c r="G562" s="64"/>
      <c r="H562" s="64"/>
      <c r="I562" s="64"/>
      <c r="J562" s="116"/>
      <c r="K562" s="116"/>
      <c r="L562" s="116"/>
      <c r="M562" s="116"/>
      <c r="N562" s="116"/>
      <c r="O562" s="116"/>
      <c r="P562" s="116"/>
      <c r="Q562" s="102"/>
      <c r="R562" s="102"/>
      <c r="S562" s="102"/>
      <c r="T562" s="102"/>
      <c r="U562" s="913"/>
      <c r="V562" s="114"/>
      <c r="W562" s="805"/>
      <c r="X562" s="805"/>
      <c r="Y562" s="805"/>
      <c r="Z562" s="914"/>
      <c r="AA562" s="102"/>
      <c r="AB562" s="102"/>
      <c r="AC562" s="102"/>
      <c r="AD562" s="102"/>
      <c r="AE562" s="102"/>
      <c r="AF562" s="102"/>
      <c r="AG562" s="102"/>
      <c r="AH562" s="102"/>
      <c r="AI562" s="102"/>
      <c r="AJ562" s="906"/>
      <c r="AK562" s="102"/>
      <c r="AL562" s="915"/>
      <c r="AM562" s="915"/>
      <c r="AN562" s="114"/>
      <c r="AO562" s="64"/>
      <c r="AP562" s="64"/>
      <c r="AQ562" s="64"/>
      <c r="AR562" s="916"/>
      <c r="AS562" s="916"/>
      <c r="AT562" s="916"/>
      <c r="AU562" s="917"/>
      <c r="AV562" s="917"/>
      <c r="AW562" s="917"/>
      <c r="AX562" s="918"/>
      <c r="AY562" s="916"/>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917"/>
      <c r="CA562" s="917"/>
      <c r="CB562" s="64"/>
      <c r="CC562" s="919"/>
      <c r="CD562" s="919"/>
      <c r="CE562" s="64"/>
      <c r="CF562" s="528"/>
      <c r="CG562" s="529"/>
      <c r="CH562" s="64"/>
      <c r="CI562" s="64"/>
      <c r="CJ562" s="64"/>
      <c r="CK562" s="64"/>
      <c r="CL562" s="64"/>
      <c r="CM562" s="64"/>
      <c r="CN562" s="64"/>
      <c r="CO562" s="64"/>
      <c r="CP562" s="64"/>
      <c r="CQ562" s="64"/>
      <c r="CR562" s="64"/>
      <c r="CS562" s="64"/>
      <c r="CT562" s="64"/>
      <c r="CU562" s="64"/>
      <c r="CV562" s="64"/>
      <c r="CW562" s="64"/>
      <c r="CX562" s="64"/>
      <c r="CY562" s="1011"/>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c r="FC562" s="64"/>
      <c r="FD562" s="64"/>
      <c r="FE562" s="64"/>
      <c r="FF562" s="64"/>
      <c r="FG562" s="64"/>
      <c r="FH562" s="64"/>
      <c r="FI562" s="64"/>
      <c r="FJ562" s="64"/>
      <c r="FK562" s="64"/>
      <c r="FL562" s="64"/>
      <c r="FM562" s="64"/>
      <c r="FN562" s="64"/>
      <c r="FO562" s="64"/>
      <c r="FP562" s="64"/>
      <c r="FQ562" s="64"/>
      <c r="FR562" s="64"/>
      <c r="FS562" s="64"/>
      <c r="FT562" s="64"/>
      <c r="FU562" s="64"/>
      <c r="FV562" s="64"/>
      <c r="FW562" s="64"/>
      <c r="FX562" s="64"/>
      <c r="FY562" s="64"/>
      <c r="FZ562" s="64"/>
      <c r="GA562" s="64"/>
      <c r="GB562" s="64"/>
      <c r="GC562" s="64"/>
      <c r="GD562" s="64"/>
      <c r="GE562" s="64"/>
      <c r="GF562" s="64"/>
      <c r="GG562" s="64"/>
      <c r="GH562" s="64"/>
      <c r="GI562" s="64"/>
      <c r="GJ562" s="64"/>
      <c r="GK562" s="64"/>
      <c r="GL562" s="64"/>
      <c r="GM562" s="64"/>
      <c r="GN562" s="64"/>
      <c r="GO562" s="64"/>
      <c r="GP562" s="64"/>
      <c r="GQ562" s="64"/>
      <c r="GR562" s="64"/>
      <c r="GS562" s="64"/>
      <c r="GT562" s="64"/>
      <c r="GU562" s="64"/>
      <c r="GV562" s="64"/>
      <c r="GW562" s="64"/>
      <c r="GX562" s="64"/>
      <c r="GY562" s="64"/>
      <c r="GZ562" s="64"/>
      <c r="HA562" s="64"/>
      <c r="HB562" s="64"/>
      <c r="HC562" s="64"/>
      <c r="HD562" s="64"/>
      <c r="HE562" s="64"/>
      <c r="HF562" s="64"/>
      <c r="HG562" s="64"/>
      <c r="HH562" s="64"/>
      <c r="HI562" s="64"/>
      <c r="HJ562" s="64"/>
      <c r="HK562" s="64"/>
      <c r="HL562" s="64"/>
      <c r="HM562" s="64"/>
      <c r="HN562" s="64"/>
      <c r="HO562" s="64"/>
      <c r="HP562" s="64"/>
      <c r="HQ562" s="64"/>
      <c r="HR562" s="64"/>
      <c r="HS562" s="64"/>
      <c r="HT562" s="64"/>
      <c r="HU562" s="64"/>
      <c r="HV562" s="64"/>
      <c r="HW562" s="64"/>
      <c r="HX562" s="64"/>
      <c r="HY562" s="64"/>
      <c r="HZ562" s="64"/>
      <c r="IA562" s="64"/>
      <c r="IB562" s="64"/>
      <c r="IC562" s="64"/>
      <c r="ID562" s="64"/>
      <c r="IE562" s="64"/>
      <c r="IF562" s="64"/>
      <c r="IG562" s="64"/>
      <c r="IH562" s="64"/>
      <c r="II562" s="64"/>
      <c r="IJ562" s="64"/>
      <c r="IK562" s="64"/>
      <c r="IL562" s="64"/>
      <c r="IM562" s="64"/>
      <c r="IN562" s="64"/>
      <c r="IO562" s="64"/>
      <c r="IP562" s="64"/>
      <c r="IQ562" s="64"/>
      <c r="IR562" s="64"/>
      <c r="IS562" s="64"/>
      <c r="IT562" s="64"/>
      <c r="IU562" s="64"/>
      <c r="IV562" s="64"/>
      <c r="IW562" s="64"/>
      <c r="IX562" s="64"/>
      <c r="IY562" s="64"/>
      <c r="IZ562" s="64"/>
      <c r="JA562" s="64"/>
      <c r="JB562" s="64"/>
      <c r="JC562" s="64"/>
      <c r="JD562" s="64"/>
      <c r="JE562" s="64"/>
      <c r="JF562" s="64"/>
      <c r="JG562" s="64"/>
      <c r="JH562" s="64"/>
      <c r="JI562" s="64"/>
    </row>
    <row r="563" spans="1:269" s="920" customFormat="1" x14ac:dyDescent="0.2">
      <c r="A563" s="116"/>
      <c r="B563" s="64"/>
      <c r="C563" s="64"/>
      <c r="D563" s="64"/>
      <c r="E563" s="64"/>
      <c r="F563" s="64"/>
      <c r="G563" s="64"/>
      <c r="H563" s="64"/>
      <c r="I563" s="64"/>
      <c r="J563" s="116"/>
      <c r="K563" s="116"/>
      <c r="L563" s="116"/>
      <c r="M563" s="116"/>
      <c r="N563" s="116"/>
      <c r="O563" s="116"/>
      <c r="P563" s="116"/>
      <c r="Q563" s="102"/>
      <c r="R563" s="102"/>
      <c r="S563" s="102"/>
      <c r="T563" s="102"/>
      <c r="U563" s="913"/>
      <c r="V563" s="114"/>
      <c r="W563" s="805"/>
      <c r="X563" s="805"/>
      <c r="Y563" s="805"/>
      <c r="Z563" s="914"/>
      <c r="AA563" s="102"/>
      <c r="AB563" s="102"/>
      <c r="AC563" s="102"/>
      <c r="AD563" s="102"/>
      <c r="AE563" s="102"/>
      <c r="AF563" s="102"/>
      <c r="AG563" s="102"/>
      <c r="AH563" s="102"/>
      <c r="AI563" s="102"/>
      <c r="AJ563" s="906"/>
      <c r="AK563" s="102"/>
      <c r="AL563" s="915"/>
      <c r="AM563" s="915"/>
      <c r="AN563" s="114"/>
      <c r="AO563" s="64"/>
      <c r="AP563" s="64"/>
      <c r="AQ563" s="64"/>
      <c r="AR563" s="916"/>
      <c r="AS563" s="916"/>
      <c r="AT563" s="916"/>
      <c r="AU563" s="917"/>
      <c r="AV563" s="917"/>
      <c r="AW563" s="917"/>
      <c r="AX563" s="918"/>
      <c r="AY563" s="916"/>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917"/>
      <c r="CA563" s="917"/>
      <c r="CB563" s="64"/>
      <c r="CC563" s="919"/>
      <c r="CD563" s="919"/>
      <c r="CE563" s="64"/>
      <c r="CF563" s="528"/>
      <c r="CG563" s="529"/>
      <c r="CH563" s="64"/>
      <c r="CI563" s="64"/>
      <c r="CJ563" s="64"/>
      <c r="CK563" s="64"/>
      <c r="CL563" s="64"/>
      <c r="CM563" s="64"/>
      <c r="CN563" s="64"/>
      <c r="CO563" s="64"/>
      <c r="CP563" s="64"/>
      <c r="CQ563" s="64"/>
      <c r="CR563" s="64"/>
      <c r="CS563" s="64"/>
      <c r="CT563" s="64"/>
      <c r="CU563" s="64"/>
      <c r="CV563" s="64"/>
      <c r="CW563" s="64"/>
      <c r="CX563" s="64"/>
      <c r="CY563" s="1011"/>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c r="FC563" s="64"/>
      <c r="FD563" s="64"/>
      <c r="FE563" s="64"/>
      <c r="FF563" s="64"/>
      <c r="FG563" s="64"/>
      <c r="FH563" s="64"/>
      <c r="FI563" s="64"/>
      <c r="FJ563" s="64"/>
      <c r="FK563" s="64"/>
      <c r="FL563" s="64"/>
      <c r="FM563" s="64"/>
      <c r="FN563" s="64"/>
      <c r="FO563" s="64"/>
      <c r="FP563" s="64"/>
      <c r="FQ563" s="64"/>
      <c r="FR563" s="64"/>
      <c r="FS563" s="64"/>
      <c r="FT563" s="64"/>
      <c r="FU563" s="64"/>
      <c r="FV563" s="64"/>
      <c r="FW563" s="64"/>
      <c r="FX563" s="64"/>
      <c r="FY563" s="64"/>
      <c r="FZ563" s="64"/>
      <c r="GA563" s="64"/>
      <c r="GB563" s="64"/>
      <c r="GC563" s="64"/>
      <c r="GD563" s="64"/>
      <c r="GE563" s="64"/>
      <c r="GF563" s="64"/>
      <c r="GG563" s="64"/>
      <c r="GH563" s="64"/>
      <c r="GI563" s="64"/>
      <c r="GJ563" s="64"/>
      <c r="GK563" s="64"/>
      <c r="GL563" s="64"/>
      <c r="GM563" s="64"/>
      <c r="GN563" s="64"/>
      <c r="GO563" s="64"/>
      <c r="GP563" s="64"/>
      <c r="GQ563" s="64"/>
      <c r="GR563" s="64"/>
      <c r="GS563" s="64"/>
      <c r="GT563" s="64"/>
      <c r="GU563" s="64"/>
      <c r="GV563" s="64"/>
      <c r="GW563" s="64"/>
      <c r="GX563" s="64"/>
      <c r="GY563" s="64"/>
      <c r="GZ563" s="64"/>
      <c r="HA563" s="64"/>
      <c r="HB563" s="64"/>
      <c r="HC563" s="64"/>
      <c r="HD563" s="64"/>
      <c r="HE563" s="64"/>
      <c r="HF563" s="64"/>
      <c r="HG563" s="64"/>
      <c r="HH563" s="64"/>
      <c r="HI563" s="64"/>
      <c r="HJ563" s="64"/>
      <c r="HK563" s="64"/>
      <c r="HL563" s="64"/>
      <c r="HM563" s="64"/>
      <c r="HN563" s="64"/>
      <c r="HO563" s="64"/>
      <c r="HP563" s="64"/>
      <c r="HQ563" s="64"/>
      <c r="HR563" s="64"/>
      <c r="HS563" s="64"/>
      <c r="HT563" s="64"/>
      <c r="HU563" s="64"/>
      <c r="HV563" s="64"/>
      <c r="HW563" s="64"/>
      <c r="HX563" s="64"/>
      <c r="HY563" s="64"/>
      <c r="HZ563" s="64"/>
      <c r="IA563" s="64"/>
      <c r="IB563" s="64"/>
      <c r="IC563" s="64"/>
      <c r="ID563" s="64"/>
      <c r="IE563" s="64"/>
      <c r="IF563" s="64"/>
      <c r="IG563" s="64"/>
      <c r="IH563" s="64"/>
      <c r="II563" s="64"/>
      <c r="IJ563" s="64"/>
      <c r="IK563" s="64"/>
      <c r="IL563" s="64"/>
      <c r="IM563" s="64"/>
      <c r="IN563" s="64"/>
      <c r="IO563" s="64"/>
      <c r="IP563" s="64"/>
      <c r="IQ563" s="64"/>
      <c r="IR563" s="64"/>
      <c r="IS563" s="64"/>
      <c r="IT563" s="64"/>
      <c r="IU563" s="64"/>
      <c r="IV563" s="64"/>
      <c r="IW563" s="64"/>
      <c r="IX563" s="64"/>
      <c r="IY563" s="64"/>
      <c r="IZ563" s="64"/>
      <c r="JA563" s="64"/>
      <c r="JB563" s="64"/>
      <c r="JC563" s="64"/>
      <c r="JD563" s="64"/>
      <c r="JE563" s="64"/>
      <c r="JF563" s="64"/>
      <c r="JG563" s="64"/>
      <c r="JH563" s="64"/>
      <c r="JI563" s="64"/>
    </row>
    <row r="564" spans="1:269" s="920" customFormat="1" x14ac:dyDescent="0.2">
      <c r="A564" s="116"/>
      <c r="B564" s="64"/>
      <c r="C564" s="64"/>
      <c r="D564" s="64"/>
      <c r="E564" s="64"/>
      <c r="F564" s="64"/>
      <c r="G564" s="64"/>
      <c r="H564" s="64"/>
      <c r="I564" s="64"/>
      <c r="J564" s="116"/>
      <c r="K564" s="116"/>
      <c r="L564" s="116"/>
      <c r="M564" s="116"/>
      <c r="N564" s="116"/>
      <c r="O564" s="116"/>
      <c r="P564" s="116"/>
      <c r="Q564" s="102"/>
      <c r="R564" s="102"/>
      <c r="S564" s="102"/>
      <c r="T564" s="102"/>
      <c r="U564" s="913"/>
      <c r="V564" s="114"/>
      <c r="W564" s="805"/>
      <c r="X564" s="805"/>
      <c r="Y564" s="805"/>
      <c r="Z564" s="914"/>
      <c r="AA564" s="102"/>
      <c r="AB564" s="102"/>
      <c r="AC564" s="102"/>
      <c r="AD564" s="102"/>
      <c r="AE564" s="102"/>
      <c r="AF564" s="102"/>
      <c r="AG564" s="102"/>
      <c r="AH564" s="102"/>
      <c r="AI564" s="102"/>
      <c r="AJ564" s="906"/>
      <c r="AK564" s="102"/>
      <c r="AL564" s="915"/>
      <c r="AM564" s="915"/>
      <c r="AN564" s="114"/>
      <c r="AO564" s="64"/>
      <c r="AP564" s="64"/>
      <c r="AQ564" s="64"/>
      <c r="AR564" s="916"/>
      <c r="AS564" s="916"/>
      <c r="AT564" s="916"/>
      <c r="AU564" s="917"/>
      <c r="AV564" s="917"/>
      <c r="AW564" s="917"/>
      <c r="AX564" s="918"/>
      <c r="AY564" s="916"/>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917"/>
      <c r="CA564" s="917"/>
      <c r="CB564" s="64"/>
      <c r="CC564" s="919"/>
      <c r="CD564" s="919"/>
      <c r="CE564" s="64"/>
      <c r="CF564" s="528"/>
      <c r="CG564" s="529"/>
      <c r="CH564" s="64"/>
      <c r="CI564" s="64"/>
      <c r="CJ564" s="64"/>
      <c r="CK564" s="64"/>
      <c r="CL564" s="64"/>
      <c r="CM564" s="64"/>
      <c r="CN564" s="64"/>
      <c r="CO564" s="64"/>
      <c r="CP564" s="64"/>
      <c r="CQ564" s="64"/>
      <c r="CR564" s="64"/>
      <c r="CS564" s="64"/>
      <c r="CT564" s="64"/>
      <c r="CU564" s="64"/>
      <c r="CV564" s="64"/>
      <c r="CW564" s="64"/>
      <c r="CX564" s="64"/>
      <c r="CY564" s="1011"/>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c r="FC564" s="64"/>
      <c r="FD564" s="64"/>
      <c r="FE564" s="64"/>
      <c r="FF564" s="64"/>
      <c r="FG564" s="64"/>
      <c r="FH564" s="64"/>
      <c r="FI564" s="64"/>
      <c r="FJ564" s="64"/>
      <c r="FK564" s="64"/>
      <c r="FL564" s="64"/>
      <c r="FM564" s="64"/>
      <c r="FN564" s="64"/>
      <c r="FO564" s="64"/>
      <c r="FP564" s="64"/>
      <c r="FQ564" s="64"/>
      <c r="FR564" s="64"/>
      <c r="FS564" s="64"/>
      <c r="FT564" s="64"/>
      <c r="FU564" s="64"/>
      <c r="FV564" s="64"/>
      <c r="FW564" s="64"/>
      <c r="FX564" s="64"/>
      <c r="FY564" s="64"/>
      <c r="FZ564" s="64"/>
      <c r="GA564" s="64"/>
      <c r="GB564" s="64"/>
      <c r="GC564" s="64"/>
      <c r="GD564" s="64"/>
      <c r="GE564" s="64"/>
      <c r="GF564" s="64"/>
      <c r="GG564" s="64"/>
      <c r="GH564" s="64"/>
      <c r="GI564" s="64"/>
      <c r="GJ564" s="64"/>
      <c r="GK564" s="64"/>
      <c r="GL564" s="64"/>
      <c r="GM564" s="64"/>
      <c r="GN564" s="64"/>
      <c r="GO564" s="64"/>
      <c r="GP564" s="64"/>
      <c r="GQ564" s="64"/>
      <c r="GR564" s="64"/>
      <c r="GS564" s="64"/>
      <c r="GT564" s="64"/>
      <c r="GU564" s="64"/>
      <c r="GV564" s="64"/>
      <c r="GW564" s="64"/>
      <c r="GX564" s="64"/>
      <c r="GY564" s="64"/>
      <c r="GZ564" s="64"/>
      <c r="HA564" s="64"/>
      <c r="HB564" s="64"/>
      <c r="HC564" s="64"/>
      <c r="HD564" s="64"/>
      <c r="HE564" s="64"/>
      <c r="HF564" s="64"/>
      <c r="HG564" s="64"/>
      <c r="HH564" s="64"/>
      <c r="HI564" s="64"/>
      <c r="HJ564" s="64"/>
      <c r="HK564" s="64"/>
      <c r="HL564" s="64"/>
      <c r="HM564" s="64"/>
      <c r="HN564" s="64"/>
      <c r="HO564" s="64"/>
      <c r="HP564" s="64"/>
      <c r="HQ564" s="64"/>
      <c r="HR564" s="64"/>
      <c r="HS564" s="64"/>
      <c r="HT564" s="64"/>
      <c r="HU564" s="64"/>
      <c r="HV564" s="64"/>
      <c r="HW564" s="64"/>
      <c r="HX564" s="64"/>
      <c r="HY564" s="64"/>
      <c r="HZ564" s="64"/>
      <c r="IA564" s="64"/>
      <c r="IB564" s="64"/>
      <c r="IC564" s="64"/>
      <c r="ID564" s="64"/>
      <c r="IE564" s="64"/>
      <c r="IF564" s="64"/>
      <c r="IG564" s="64"/>
      <c r="IH564" s="64"/>
      <c r="II564" s="64"/>
      <c r="IJ564" s="64"/>
      <c r="IK564" s="64"/>
      <c r="IL564" s="64"/>
      <c r="IM564" s="64"/>
      <c r="IN564" s="64"/>
      <c r="IO564" s="64"/>
      <c r="IP564" s="64"/>
      <c r="IQ564" s="64"/>
      <c r="IR564" s="64"/>
      <c r="IS564" s="64"/>
      <c r="IT564" s="64"/>
      <c r="IU564" s="64"/>
      <c r="IV564" s="64"/>
      <c r="IW564" s="64"/>
      <c r="IX564" s="64"/>
      <c r="IY564" s="64"/>
      <c r="IZ564" s="64"/>
      <c r="JA564" s="64"/>
      <c r="JB564" s="64"/>
      <c r="JC564" s="64"/>
      <c r="JD564" s="64"/>
      <c r="JE564" s="64"/>
      <c r="JF564" s="64"/>
      <c r="JG564" s="64"/>
      <c r="JH564" s="64"/>
      <c r="JI564" s="64"/>
    </row>
    <row r="565" spans="1:269" s="920" customFormat="1" x14ac:dyDescent="0.2">
      <c r="A565" s="116"/>
      <c r="B565" s="64"/>
      <c r="C565" s="64"/>
      <c r="D565" s="64"/>
      <c r="E565" s="64"/>
      <c r="F565" s="64"/>
      <c r="G565" s="64"/>
      <c r="H565" s="64"/>
      <c r="I565" s="64"/>
      <c r="J565" s="116"/>
      <c r="K565" s="116"/>
      <c r="L565" s="116"/>
      <c r="M565" s="116"/>
      <c r="N565" s="116"/>
      <c r="O565" s="116"/>
      <c r="P565" s="116"/>
      <c r="Q565" s="102"/>
      <c r="R565" s="102"/>
      <c r="S565" s="102"/>
      <c r="T565" s="102"/>
      <c r="U565" s="913"/>
      <c r="V565" s="114"/>
      <c r="W565" s="805"/>
      <c r="X565" s="805"/>
      <c r="Y565" s="805"/>
      <c r="Z565" s="914"/>
      <c r="AA565" s="102"/>
      <c r="AB565" s="102"/>
      <c r="AC565" s="102"/>
      <c r="AD565" s="102"/>
      <c r="AE565" s="102"/>
      <c r="AF565" s="102"/>
      <c r="AG565" s="102"/>
      <c r="AH565" s="102"/>
      <c r="AI565" s="102"/>
      <c r="AJ565" s="906"/>
      <c r="AK565" s="102"/>
      <c r="AL565" s="915"/>
      <c r="AM565" s="915"/>
      <c r="AN565" s="114"/>
      <c r="AO565" s="64"/>
      <c r="AP565" s="64"/>
      <c r="AQ565" s="64"/>
      <c r="AR565" s="916"/>
      <c r="AS565" s="916"/>
      <c r="AT565" s="916"/>
      <c r="AU565" s="917"/>
      <c r="AV565" s="917"/>
      <c r="AW565" s="917"/>
      <c r="AX565" s="918"/>
      <c r="AY565" s="916"/>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917"/>
      <c r="CA565" s="917"/>
      <c r="CB565" s="64"/>
      <c r="CC565" s="919"/>
      <c r="CD565" s="919"/>
      <c r="CE565" s="64"/>
      <c r="CF565" s="528"/>
      <c r="CG565" s="529"/>
      <c r="CH565" s="64"/>
      <c r="CI565" s="64"/>
      <c r="CJ565" s="64"/>
      <c r="CK565" s="64"/>
      <c r="CL565" s="64"/>
      <c r="CM565" s="64"/>
      <c r="CN565" s="64"/>
      <c r="CO565" s="64"/>
      <c r="CP565" s="64"/>
      <c r="CQ565" s="64"/>
      <c r="CR565" s="64"/>
      <c r="CS565" s="64"/>
      <c r="CT565" s="64"/>
      <c r="CU565" s="64"/>
      <c r="CV565" s="64"/>
      <c r="CW565" s="64"/>
      <c r="CX565" s="64"/>
      <c r="CY565" s="1011"/>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c r="FC565" s="64"/>
      <c r="FD565" s="64"/>
      <c r="FE565" s="64"/>
      <c r="FF565" s="64"/>
      <c r="FG565" s="64"/>
      <c r="FH565" s="64"/>
      <c r="FI565" s="64"/>
      <c r="FJ565" s="64"/>
      <c r="FK565" s="64"/>
      <c r="FL565" s="64"/>
      <c r="FM565" s="64"/>
      <c r="FN565" s="64"/>
      <c r="FO565" s="64"/>
      <c r="FP565" s="64"/>
      <c r="FQ565" s="64"/>
      <c r="FR565" s="64"/>
      <c r="FS565" s="64"/>
      <c r="FT565" s="64"/>
      <c r="FU565" s="64"/>
      <c r="FV565" s="64"/>
      <c r="FW565" s="64"/>
      <c r="FX565" s="64"/>
      <c r="FY565" s="64"/>
      <c r="FZ565" s="64"/>
      <c r="GA565" s="64"/>
      <c r="GB565" s="64"/>
      <c r="GC565" s="64"/>
      <c r="GD565" s="64"/>
      <c r="GE565" s="64"/>
      <c r="GF565" s="64"/>
      <c r="GG565" s="64"/>
      <c r="GH565" s="64"/>
      <c r="GI565" s="64"/>
      <c r="GJ565" s="64"/>
      <c r="GK565" s="64"/>
      <c r="GL565" s="64"/>
      <c r="GM565" s="64"/>
      <c r="GN565" s="64"/>
      <c r="GO565" s="64"/>
      <c r="GP565" s="64"/>
      <c r="GQ565" s="64"/>
      <c r="GR565" s="64"/>
      <c r="GS565" s="64"/>
      <c r="GT565" s="64"/>
      <c r="GU565" s="64"/>
      <c r="GV565" s="64"/>
      <c r="GW565" s="64"/>
      <c r="GX565" s="64"/>
      <c r="GY565" s="64"/>
      <c r="GZ565" s="64"/>
      <c r="HA565" s="64"/>
      <c r="HB565" s="64"/>
      <c r="HC565" s="64"/>
      <c r="HD565" s="64"/>
      <c r="HE565" s="64"/>
      <c r="HF565" s="64"/>
      <c r="HG565" s="64"/>
      <c r="HH565" s="64"/>
      <c r="HI565" s="64"/>
      <c r="HJ565" s="64"/>
      <c r="HK565" s="64"/>
      <c r="HL565" s="64"/>
      <c r="HM565" s="64"/>
      <c r="HN565" s="64"/>
      <c r="HO565" s="64"/>
      <c r="HP565" s="64"/>
      <c r="HQ565" s="64"/>
      <c r="HR565" s="64"/>
      <c r="HS565" s="64"/>
      <c r="HT565" s="64"/>
      <c r="HU565" s="64"/>
      <c r="HV565" s="64"/>
      <c r="HW565" s="64"/>
      <c r="HX565" s="64"/>
      <c r="HY565" s="64"/>
      <c r="HZ565" s="64"/>
      <c r="IA565" s="64"/>
      <c r="IB565" s="64"/>
      <c r="IC565" s="64"/>
      <c r="ID565" s="64"/>
      <c r="IE565" s="64"/>
      <c r="IF565" s="64"/>
      <c r="IG565" s="64"/>
      <c r="IH565" s="64"/>
      <c r="II565" s="64"/>
      <c r="IJ565" s="64"/>
      <c r="IK565" s="64"/>
      <c r="IL565" s="64"/>
      <c r="IM565" s="64"/>
      <c r="IN565" s="64"/>
      <c r="IO565" s="64"/>
      <c r="IP565" s="64"/>
      <c r="IQ565" s="64"/>
      <c r="IR565" s="64"/>
      <c r="IS565" s="64"/>
      <c r="IT565" s="64"/>
      <c r="IU565" s="64"/>
      <c r="IV565" s="64"/>
      <c r="IW565" s="64"/>
      <c r="IX565" s="64"/>
      <c r="IY565" s="64"/>
      <c r="IZ565" s="64"/>
      <c r="JA565" s="64"/>
      <c r="JB565" s="64"/>
      <c r="JC565" s="64"/>
      <c r="JD565" s="64"/>
      <c r="JE565" s="64"/>
      <c r="JF565" s="64"/>
      <c r="JG565" s="64"/>
      <c r="JH565" s="64"/>
      <c r="JI565" s="64"/>
    </row>
    <row r="566" spans="1:269" s="920" customFormat="1" x14ac:dyDescent="0.2">
      <c r="A566" s="116"/>
      <c r="B566" s="64"/>
      <c r="C566" s="64"/>
      <c r="D566" s="64"/>
      <c r="E566" s="64"/>
      <c r="F566" s="64"/>
      <c r="G566" s="64"/>
      <c r="H566" s="64"/>
      <c r="I566" s="64"/>
      <c r="J566" s="116"/>
      <c r="K566" s="116"/>
      <c r="L566" s="116"/>
      <c r="M566" s="116"/>
      <c r="N566" s="116"/>
      <c r="O566" s="116"/>
      <c r="P566" s="116"/>
      <c r="Q566" s="102"/>
      <c r="R566" s="102"/>
      <c r="S566" s="102"/>
      <c r="T566" s="102"/>
      <c r="U566" s="913"/>
      <c r="V566" s="114"/>
      <c r="W566" s="805"/>
      <c r="X566" s="805"/>
      <c r="Y566" s="805"/>
      <c r="Z566" s="914"/>
      <c r="AA566" s="102"/>
      <c r="AB566" s="102"/>
      <c r="AC566" s="102"/>
      <c r="AD566" s="102"/>
      <c r="AE566" s="102"/>
      <c r="AF566" s="102"/>
      <c r="AG566" s="102"/>
      <c r="AH566" s="102"/>
      <c r="AI566" s="102"/>
      <c r="AJ566" s="906"/>
      <c r="AK566" s="102"/>
      <c r="AL566" s="915"/>
      <c r="AM566" s="915"/>
      <c r="AN566" s="114"/>
      <c r="AO566" s="64"/>
      <c r="AP566" s="64"/>
      <c r="AQ566" s="64"/>
      <c r="AR566" s="916"/>
      <c r="AS566" s="916"/>
      <c r="AT566" s="916"/>
      <c r="AU566" s="917"/>
      <c r="AV566" s="917"/>
      <c r="AW566" s="917"/>
      <c r="AX566" s="918"/>
      <c r="AY566" s="916"/>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917"/>
      <c r="CA566" s="917"/>
      <c r="CB566" s="64"/>
      <c r="CC566" s="919"/>
      <c r="CD566" s="919"/>
      <c r="CE566" s="64"/>
      <c r="CF566" s="528"/>
      <c r="CG566" s="529"/>
      <c r="CH566" s="64"/>
      <c r="CI566" s="64"/>
      <c r="CJ566" s="64"/>
      <c r="CK566" s="64"/>
      <c r="CL566" s="64"/>
      <c r="CM566" s="64"/>
      <c r="CN566" s="64"/>
      <c r="CO566" s="64"/>
      <c r="CP566" s="64"/>
      <c r="CQ566" s="64"/>
      <c r="CR566" s="64"/>
      <c r="CS566" s="64"/>
      <c r="CT566" s="64"/>
      <c r="CU566" s="64"/>
      <c r="CV566" s="64"/>
      <c r="CW566" s="64"/>
      <c r="CX566" s="64"/>
      <c r="CY566" s="1011"/>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c r="FC566" s="64"/>
      <c r="FD566" s="64"/>
      <c r="FE566" s="64"/>
      <c r="FF566" s="64"/>
      <c r="FG566" s="64"/>
      <c r="FH566" s="64"/>
      <c r="FI566" s="64"/>
      <c r="FJ566" s="64"/>
      <c r="FK566" s="64"/>
      <c r="FL566" s="64"/>
      <c r="FM566" s="64"/>
      <c r="FN566" s="64"/>
      <c r="FO566" s="64"/>
      <c r="FP566" s="64"/>
      <c r="FQ566" s="64"/>
      <c r="FR566" s="64"/>
      <c r="FS566" s="64"/>
      <c r="FT566" s="64"/>
      <c r="FU566" s="64"/>
      <c r="FV566" s="64"/>
      <c r="FW566" s="64"/>
      <c r="FX566" s="64"/>
      <c r="FY566" s="64"/>
      <c r="FZ566" s="64"/>
      <c r="GA566" s="64"/>
      <c r="GB566" s="64"/>
      <c r="GC566" s="64"/>
      <c r="GD566" s="64"/>
      <c r="GE566" s="64"/>
      <c r="GF566" s="64"/>
      <c r="GG566" s="64"/>
      <c r="GH566" s="64"/>
      <c r="GI566" s="64"/>
      <c r="GJ566" s="64"/>
      <c r="GK566" s="64"/>
      <c r="GL566" s="64"/>
      <c r="GM566" s="64"/>
      <c r="GN566" s="64"/>
      <c r="GO566" s="64"/>
      <c r="GP566" s="64"/>
      <c r="GQ566" s="64"/>
      <c r="GR566" s="64"/>
      <c r="GS566" s="64"/>
      <c r="GT566" s="64"/>
      <c r="GU566" s="64"/>
      <c r="GV566" s="64"/>
      <c r="GW566" s="64"/>
      <c r="GX566" s="64"/>
      <c r="GY566" s="64"/>
      <c r="GZ566" s="64"/>
      <c r="HA566" s="64"/>
      <c r="HB566" s="64"/>
      <c r="HC566" s="64"/>
      <c r="HD566" s="64"/>
      <c r="HE566" s="64"/>
      <c r="HF566" s="64"/>
      <c r="HG566" s="64"/>
      <c r="HH566" s="64"/>
      <c r="HI566" s="64"/>
      <c r="HJ566" s="64"/>
      <c r="HK566" s="64"/>
      <c r="HL566" s="64"/>
      <c r="HM566" s="64"/>
      <c r="HN566" s="64"/>
      <c r="HO566" s="64"/>
      <c r="HP566" s="64"/>
      <c r="HQ566" s="64"/>
      <c r="HR566" s="64"/>
      <c r="HS566" s="64"/>
      <c r="HT566" s="64"/>
      <c r="HU566" s="64"/>
      <c r="HV566" s="64"/>
      <c r="HW566" s="64"/>
      <c r="HX566" s="64"/>
      <c r="HY566" s="64"/>
      <c r="HZ566" s="64"/>
      <c r="IA566" s="64"/>
      <c r="IB566" s="64"/>
      <c r="IC566" s="64"/>
      <c r="ID566" s="64"/>
      <c r="IE566" s="64"/>
      <c r="IF566" s="64"/>
      <c r="IG566" s="64"/>
      <c r="IH566" s="64"/>
      <c r="II566" s="64"/>
      <c r="IJ566" s="64"/>
      <c r="IK566" s="64"/>
      <c r="IL566" s="64"/>
      <c r="IM566" s="64"/>
      <c r="IN566" s="64"/>
      <c r="IO566" s="64"/>
      <c r="IP566" s="64"/>
      <c r="IQ566" s="64"/>
      <c r="IR566" s="64"/>
      <c r="IS566" s="64"/>
      <c r="IT566" s="64"/>
      <c r="IU566" s="64"/>
      <c r="IV566" s="64"/>
      <c r="IW566" s="64"/>
      <c r="IX566" s="64"/>
      <c r="IY566" s="64"/>
      <c r="IZ566" s="64"/>
      <c r="JA566" s="64"/>
      <c r="JB566" s="64"/>
      <c r="JC566" s="64"/>
      <c r="JD566" s="64"/>
      <c r="JE566" s="64"/>
      <c r="JF566" s="64"/>
      <c r="JG566" s="64"/>
      <c r="JH566" s="64"/>
      <c r="JI566" s="64"/>
    </row>
    <row r="567" spans="1:269" s="920" customFormat="1" x14ac:dyDescent="0.2">
      <c r="A567" s="116"/>
      <c r="B567" s="64"/>
      <c r="C567" s="64"/>
      <c r="D567" s="64"/>
      <c r="E567" s="64"/>
      <c r="F567" s="64"/>
      <c r="G567" s="64"/>
      <c r="H567" s="64"/>
      <c r="I567" s="64"/>
      <c r="J567" s="116"/>
      <c r="K567" s="116"/>
      <c r="L567" s="116"/>
      <c r="M567" s="116"/>
      <c r="N567" s="116"/>
      <c r="O567" s="116"/>
      <c r="P567" s="116"/>
      <c r="Q567" s="102"/>
      <c r="R567" s="102"/>
      <c r="S567" s="102"/>
      <c r="T567" s="102"/>
      <c r="U567" s="913"/>
      <c r="V567" s="114"/>
      <c r="W567" s="805"/>
      <c r="X567" s="805"/>
      <c r="Y567" s="805"/>
      <c r="Z567" s="914"/>
      <c r="AA567" s="102"/>
      <c r="AB567" s="102"/>
      <c r="AC567" s="102"/>
      <c r="AD567" s="102"/>
      <c r="AE567" s="102"/>
      <c r="AF567" s="102"/>
      <c r="AG567" s="102"/>
      <c r="AH567" s="102"/>
      <c r="AI567" s="102"/>
      <c r="AJ567" s="906"/>
      <c r="AK567" s="102"/>
      <c r="AL567" s="915"/>
      <c r="AM567" s="915"/>
      <c r="AN567" s="114"/>
      <c r="AO567" s="64"/>
      <c r="AP567" s="64"/>
      <c r="AQ567" s="64"/>
      <c r="AR567" s="916"/>
      <c r="AS567" s="916"/>
      <c r="AT567" s="916"/>
      <c r="AU567" s="917"/>
      <c r="AV567" s="917"/>
      <c r="AW567" s="917"/>
      <c r="AX567" s="918"/>
      <c r="AY567" s="916"/>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917"/>
      <c r="CA567" s="917"/>
      <c r="CB567" s="64"/>
      <c r="CC567" s="919"/>
      <c r="CD567" s="919"/>
      <c r="CE567" s="64"/>
      <c r="CF567" s="528"/>
      <c r="CG567" s="529"/>
      <c r="CH567" s="64"/>
      <c r="CI567" s="64"/>
      <c r="CJ567" s="64"/>
      <c r="CK567" s="64"/>
      <c r="CL567" s="64"/>
      <c r="CM567" s="64"/>
      <c r="CN567" s="64"/>
      <c r="CO567" s="64"/>
      <c r="CP567" s="64"/>
      <c r="CQ567" s="64"/>
      <c r="CR567" s="64"/>
      <c r="CS567" s="64"/>
      <c r="CT567" s="64"/>
      <c r="CU567" s="64"/>
      <c r="CV567" s="64"/>
      <c r="CW567" s="64"/>
      <c r="CX567" s="64"/>
      <c r="CY567" s="1011"/>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c r="FC567" s="64"/>
      <c r="FD567" s="64"/>
      <c r="FE567" s="64"/>
      <c r="FF567" s="64"/>
      <c r="FG567" s="64"/>
      <c r="FH567" s="64"/>
      <c r="FI567" s="64"/>
      <c r="FJ567" s="64"/>
      <c r="FK567" s="64"/>
      <c r="FL567" s="64"/>
      <c r="FM567" s="64"/>
      <c r="FN567" s="64"/>
      <c r="FO567" s="64"/>
      <c r="FP567" s="64"/>
      <c r="FQ567" s="64"/>
      <c r="FR567" s="64"/>
      <c r="FS567" s="64"/>
      <c r="FT567" s="64"/>
      <c r="FU567" s="64"/>
      <c r="FV567" s="64"/>
      <c r="FW567" s="64"/>
      <c r="FX567" s="64"/>
      <c r="FY567" s="64"/>
      <c r="FZ567" s="64"/>
      <c r="GA567" s="64"/>
      <c r="GB567" s="64"/>
      <c r="GC567" s="64"/>
      <c r="GD567" s="64"/>
      <c r="GE567" s="64"/>
      <c r="GF567" s="64"/>
      <c r="GG567" s="64"/>
      <c r="GH567" s="64"/>
      <c r="GI567" s="64"/>
      <c r="GJ567" s="64"/>
      <c r="GK567" s="64"/>
      <c r="GL567" s="64"/>
      <c r="GM567" s="64"/>
      <c r="GN567" s="64"/>
      <c r="GO567" s="64"/>
      <c r="GP567" s="64"/>
      <c r="GQ567" s="64"/>
      <c r="GR567" s="64"/>
      <c r="GS567" s="64"/>
      <c r="GT567" s="64"/>
      <c r="GU567" s="64"/>
      <c r="GV567" s="64"/>
      <c r="GW567" s="64"/>
      <c r="GX567" s="64"/>
      <c r="GY567" s="64"/>
      <c r="GZ567" s="64"/>
      <c r="HA567" s="64"/>
      <c r="HB567" s="64"/>
      <c r="HC567" s="64"/>
      <c r="HD567" s="64"/>
      <c r="HE567" s="64"/>
      <c r="HF567" s="64"/>
      <c r="HG567" s="64"/>
      <c r="HH567" s="64"/>
      <c r="HI567" s="64"/>
      <c r="HJ567" s="64"/>
      <c r="HK567" s="64"/>
      <c r="HL567" s="64"/>
      <c r="HM567" s="64"/>
      <c r="HN567" s="64"/>
      <c r="HO567" s="64"/>
      <c r="HP567" s="64"/>
      <c r="HQ567" s="64"/>
      <c r="HR567" s="64"/>
      <c r="HS567" s="64"/>
      <c r="HT567" s="64"/>
      <c r="HU567" s="64"/>
      <c r="HV567" s="64"/>
      <c r="HW567" s="64"/>
      <c r="HX567" s="64"/>
      <c r="HY567" s="64"/>
      <c r="HZ567" s="64"/>
      <c r="IA567" s="64"/>
      <c r="IB567" s="64"/>
      <c r="IC567" s="64"/>
      <c r="ID567" s="64"/>
      <c r="IE567" s="64"/>
      <c r="IF567" s="64"/>
      <c r="IG567" s="64"/>
      <c r="IH567" s="64"/>
      <c r="II567" s="64"/>
      <c r="IJ567" s="64"/>
      <c r="IK567" s="64"/>
      <c r="IL567" s="64"/>
      <c r="IM567" s="64"/>
      <c r="IN567" s="64"/>
      <c r="IO567" s="64"/>
      <c r="IP567" s="64"/>
      <c r="IQ567" s="64"/>
      <c r="IR567" s="64"/>
      <c r="IS567" s="64"/>
      <c r="IT567" s="64"/>
      <c r="IU567" s="64"/>
      <c r="IV567" s="64"/>
      <c r="IW567" s="64"/>
      <c r="IX567" s="64"/>
      <c r="IY567" s="64"/>
      <c r="IZ567" s="64"/>
      <c r="JA567" s="64"/>
      <c r="JB567" s="64"/>
      <c r="JC567" s="64"/>
      <c r="JD567" s="64"/>
      <c r="JE567" s="64"/>
      <c r="JF567" s="64"/>
      <c r="JG567" s="64"/>
      <c r="JH567" s="64"/>
      <c r="JI567" s="64"/>
    </row>
    <row r="568" spans="1:269" s="920" customFormat="1" x14ac:dyDescent="0.2">
      <c r="A568" s="116"/>
      <c r="B568" s="64"/>
      <c r="C568" s="64"/>
      <c r="D568" s="64"/>
      <c r="E568" s="64"/>
      <c r="F568" s="64"/>
      <c r="G568" s="64"/>
      <c r="H568" s="64"/>
      <c r="I568" s="64"/>
      <c r="J568" s="116"/>
      <c r="K568" s="116"/>
      <c r="L568" s="116"/>
      <c r="M568" s="116"/>
      <c r="N568" s="116"/>
      <c r="O568" s="116"/>
      <c r="P568" s="116"/>
      <c r="Q568" s="102"/>
      <c r="R568" s="102"/>
      <c r="S568" s="102"/>
      <c r="T568" s="102"/>
      <c r="U568" s="913"/>
      <c r="V568" s="114"/>
      <c r="W568" s="805"/>
      <c r="X568" s="805"/>
      <c r="Y568" s="805"/>
      <c r="Z568" s="914"/>
      <c r="AA568" s="102"/>
      <c r="AB568" s="102"/>
      <c r="AC568" s="102"/>
      <c r="AD568" s="102"/>
      <c r="AE568" s="102"/>
      <c r="AF568" s="102"/>
      <c r="AG568" s="102"/>
      <c r="AH568" s="102"/>
      <c r="AI568" s="102"/>
      <c r="AJ568" s="906"/>
      <c r="AK568" s="102"/>
      <c r="AL568" s="915"/>
      <c r="AM568" s="915"/>
      <c r="AN568" s="114"/>
      <c r="AO568" s="64"/>
      <c r="AP568" s="64"/>
      <c r="AQ568" s="64"/>
      <c r="AR568" s="916"/>
      <c r="AS568" s="916"/>
      <c r="AT568" s="916"/>
      <c r="AU568" s="917"/>
      <c r="AV568" s="917"/>
      <c r="AW568" s="917"/>
      <c r="AX568" s="918"/>
      <c r="AY568" s="916"/>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917"/>
      <c r="CA568" s="917"/>
      <c r="CB568" s="64"/>
      <c r="CC568" s="919"/>
      <c r="CD568" s="919"/>
      <c r="CE568" s="64"/>
      <c r="CF568" s="528"/>
      <c r="CG568" s="529"/>
      <c r="CH568" s="64"/>
      <c r="CI568" s="64"/>
      <c r="CJ568" s="64"/>
      <c r="CK568" s="64"/>
      <c r="CL568" s="64"/>
      <c r="CM568" s="64"/>
      <c r="CN568" s="64"/>
      <c r="CO568" s="64"/>
      <c r="CP568" s="64"/>
      <c r="CQ568" s="64"/>
      <c r="CR568" s="64"/>
      <c r="CS568" s="64"/>
      <c r="CT568" s="64"/>
      <c r="CU568" s="64"/>
      <c r="CV568" s="64"/>
      <c r="CW568" s="64"/>
      <c r="CX568" s="64"/>
      <c r="CY568" s="1011"/>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c r="FC568" s="64"/>
      <c r="FD568" s="64"/>
      <c r="FE568" s="64"/>
      <c r="FF568" s="64"/>
      <c r="FG568" s="64"/>
      <c r="FH568" s="64"/>
      <c r="FI568" s="64"/>
      <c r="FJ568" s="64"/>
      <c r="FK568" s="64"/>
      <c r="FL568" s="64"/>
      <c r="FM568" s="64"/>
      <c r="FN568" s="64"/>
      <c r="FO568" s="64"/>
      <c r="FP568" s="64"/>
      <c r="FQ568" s="64"/>
      <c r="FR568" s="64"/>
      <c r="FS568" s="64"/>
      <c r="FT568" s="64"/>
      <c r="FU568" s="64"/>
      <c r="FV568" s="64"/>
      <c r="FW568" s="64"/>
      <c r="FX568" s="64"/>
      <c r="FY568" s="64"/>
      <c r="FZ568" s="64"/>
      <c r="GA568" s="64"/>
      <c r="GB568" s="64"/>
      <c r="GC568" s="64"/>
      <c r="GD568" s="64"/>
      <c r="GE568" s="64"/>
      <c r="GF568" s="64"/>
      <c r="GG568" s="64"/>
      <c r="GH568" s="64"/>
      <c r="GI568" s="64"/>
      <c r="GJ568" s="64"/>
      <c r="GK568" s="64"/>
      <c r="GL568" s="64"/>
      <c r="GM568" s="64"/>
      <c r="GN568" s="64"/>
      <c r="GO568" s="64"/>
      <c r="GP568" s="64"/>
      <c r="GQ568" s="64"/>
      <c r="GR568" s="64"/>
      <c r="GS568" s="64"/>
      <c r="GT568" s="64"/>
      <c r="GU568" s="64"/>
      <c r="GV568" s="64"/>
      <c r="GW568" s="64"/>
      <c r="GX568" s="64"/>
      <c r="GY568" s="64"/>
      <c r="GZ568" s="64"/>
      <c r="HA568" s="64"/>
      <c r="HB568" s="64"/>
      <c r="HC568" s="64"/>
      <c r="HD568" s="64"/>
      <c r="HE568" s="64"/>
      <c r="HF568" s="64"/>
      <c r="HG568" s="64"/>
      <c r="HH568" s="64"/>
      <c r="HI568" s="64"/>
      <c r="HJ568" s="64"/>
      <c r="HK568" s="64"/>
      <c r="HL568" s="64"/>
      <c r="HM568" s="64"/>
      <c r="HN568" s="64"/>
      <c r="HO568" s="64"/>
      <c r="HP568" s="64"/>
      <c r="HQ568" s="64"/>
      <c r="HR568" s="64"/>
      <c r="HS568" s="64"/>
      <c r="HT568" s="64"/>
      <c r="HU568" s="64"/>
      <c r="HV568" s="64"/>
      <c r="HW568" s="64"/>
      <c r="HX568" s="64"/>
      <c r="HY568" s="64"/>
      <c r="HZ568" s="64"/>
      <c r="IA568" s="64"/>
      <c r="IB568" s="64"/>
      <c r="IC568" s="64"/>
      <c r="ID568" s="64"/>
      <c r="IE568" s="64"/>
      <c r="IF568" s="64"/>
      <c r="IG568" s="64"/>
      <c r="IH568" s="64"/>
      <c r="II568" s="64"/>
      <c r="IJ568" s="64"/>
      <c r="IK568" s="64"/>
      <c r="IL568" s="64"/>
      <c r="IM568" s="64"/>
      <c r="IN568" s="64"/>
      <c r="IO568" s="64"/>
      <c r="IP568" s="64"/>
      <c r="IQ568" s="64"/>
      <c r="IR568" s="64"/>
      <c r="IS568" s="64"/>
      <c r="IT568" s="64"/>
      <c r="IU568" s="64"/>
      <c r="IV568" s="64"/>
      <c r="IW568" s="64"/>
      <c r="IX568" s="64"/>
      <c r="IY568" s="64"/>
      <c r="IZ568" s="64"/>
      <c r="JA568" s="64"/>
      <c r="JB568" s="64"/>
      <c r="JC568" s="64"/>
      <c r="JD568" s="64"/>
      <c r="JE568" s="64"/>
      <c r="JF568" s="64"/>
      <c r="JG568" s="64"/>
      <c r="JH568" s="64"/>
      <c r="JI568" s="64"/>
    </row>
    <row r="569" spans="1:269" s="920" customFormat="1" x14ac:dyDescent="0.2">
      <c r="A569" s="116"/>
      <c r="B569" s="64"/>
      <c r="C569" s="64"/>
      <c r="D569" s="64"/>
      <c r="E569" s="64"/>
      <c r="F569" s="64"/>
      <c r="G569" s="64"/>
      <c r="H569" s="64"/>
      <c r="I569" s="64"/>
      <c r="J569" s="116"/>
      <c r="K569" s="116"/>
      <c r="L569" s="116"/>
      <c r="M569" s="116"/>
      <c r="N569" s="116"/>
      <c r="O569" s="116"/>
      <c r="P569" s="116"/>
      <c r="Q569" s="102"/>
      <c r="R569" s="102"/>
      <c r="S569" s="102"/>
      <c r="T569" s="102"/>
      <c r="U569" s="913"/>
      <c r="V569" s="114"/>
      <c r="W569" s="805"/>
      <c r="X569" s="805"/>
      <c r="Y569" s="805"/>
      <c r="Z569" s="914"/>
      <c r="AA569" s="102"/>
      <c r="AB569" s="102"/>
      <c r="AC569" s="102"/>
      <c r="AD569" s="102"/>
      <c r="AE569" s="102"/>
      <c r="AF569" s="102"/>
      <c r="AG569" s="102"/>
      <c r="AH569" s="102"/>
      <c r="AI569" s="102"/>
      <c r="AJ569" s="906"/>
      <c r="AK569" s="102"/>
      <c r="AL569" s="915"/>
      <c r="AM569" s="915"/>
      <c r="AN569" s="114"/>
      <c r="AO569" s="64"/>
      <c r="AP569" s="64"/>
      <c r="AQ569" s="64"/>
      <c r="AR569" s="916"/>
      <c r="AS569" s="916"/>
      <c r="AT569" s="916"/>
      <c r="AU569" s="917"/>
      <c r="AV569" s="917"/>
      <c r="AW569" s="917"/>
      <c r="AX569" s="918"/>
      <c r="AY569" s="916"/>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917"/>
      <c r="CA569" s="917"/>
      <c r="CB569" s="64"/>
      <c r="CC569" s="919"/>
      <c r="CD569" s="919"/>
      <c r="CE569" s="64"/>
      <c r="CF569" s="528"/>
      <c r="CG569" s="529"/>
      <c r="CH569" s="64"/>
      <c r="CI569" s="64"/>
      <c r="CJ569" s="64"/>
      <c r="CK569" s="64"/>
      <c r="CL569" s="64"/>
      <c r="CM569" s="64"/>
      <c r="CN569" s="64"/>
      <c r="CO569" s="64"/>
      <c r="CP569" s="64"/>
      <c r="CQ569" s="64"/>
      <c r="CR569" s="64"/>
      <c r="CS569" s="64"/>
      <c r="CT569" s="64"/>
      <c r="CU569" s="64"/>
      <c r="CV569" s="64"/>
      <c r="CW569" s="64"/>
      <c r="CX569" s="64"/>
      <c r="CY569" s="1011"/>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c r="FC569" s="64"/>
      <c r="FD569" s="64"/>
      <c r="FE569" s="64"/>
      <c r="FF569" s="64"/>
      <c r="FG569" s="64"/>
      <c r="FH569" s="64"/>
      <c r="FI569" s="64"/>
      <c r="FJ569" s="64"/>
      <c r="FK569" s="64"/>
      <c r="FL569" s="64"/>
      <c r="FM569" s="64"/>
      <c r="FN569" s="64"/>
      <c r="FO569" s="64"/>
      <c r="FP569" s="64"/>
      <c r="FQ569" s="64"/>
      <c r="FR569" s="64"/>
      <c r="FS569" s="64"/>
      <c r="FT569" s="64"/>
      <c r="FU569" s="64"/>
      <c r="FV569" s="64"/>
      <c r="FW569" s="64"/>
      <c r="FX569" s="64"/>
      <c r="FY569" s="64"/>
      <c r="FZ569" s="64"/>
      <c r="GA569" s="64"/>
      <c r="GB569" s="64"/>
      <c r="GC569" s="64"/>
      <c r="GD569" s="64"/>
      <c r="GE569" s="64"/>
      <c r="GF569" s="64"/>
      <c r="GG569" s="64"/>
      <c r="GH569" s="64"/>
      <c r="GI569" s="64"/>
      <c r="GJ569" s="64"/>
      <c r="GK569" s="64"/>
      <c r="GL569" s="64"/>
      <c r="GM569" s="64"/>
      <c r="GN569" s="64"/>
      <c r="GO569" s="64"/>
      <c r="GP569" s="64"/>
      <c r="GQ569" s="64"/>
      <c r="GR569" s="64"/>
      <c r="GS569" s="64"/>
      <c r="GT569" s="64"/>
      <c r="GU569" s="64"/>
      <c r="GV569" s="64"/>
      <c r="GW569" s="64"/>
      <c r="GX569" s="64"/>
      <c r="GY569" s="64"/>
      <c r="GZ569" s="64"/>
      <c r="HA569" s="64"/>
      <c r="HB569" s="64"/>
      <c r="HC569" s="64"/>
      <c r="HD569" s="64"/>
      <c r="HE569" s="64"/>
      <c r="HF569" s="64"/>
      <c r="HG569" s="64"/>
      <c r="HH569" s="64"/>
      <c r="HI569" s="64"/>
      <c r="HJ569" s="64"/>
      <c r="HK569" s="64"/>
      <c r="HL569" s="64"/>
      <c r="HM569" s="64"/>
      <c r="HN569" s="64"/>
      <c r="HO569" s="64"/>
      <c r="HP569" s="64"/>
      <c r="HQ569" s="64"/>
      <c r="HR569" s="64"/>
      <c r="HS569" s="64"/>
      <c r="HT569" s="64"/>
      <c r="HU569" s="64"/>
      <c r="HV569" s="64"/>
      <c r="HW569" s="64"/>
      <c r="HX569" s="64"/>
      <c r="HY569" s="64"/>
      <c r="HZ569" s="64"/>
      <c r="IA569" s="64"/>
      <c r="IB569" s="64"/>
      <c r="IC569" s="64"/>
      <c r="ID569" s="64"/>
      <c r="IE569" s="64"/>
      <c r="IF569" s="64"/>
      <c r="IG569" s="64"/>
      <c r="IH569" s="64"/>
      <c r="II569" s="64"/>
      <c r="IJ569" s="64"/>
      <c r="IK569" s="64"/>
      <c r="IL569" s="64"/>
      <c r="IM569" s="64"/>
      <c r="IN569" s="64"/>
      <c r="IO569" s="64"/>
      <c r="IP569" s="64"/>
      <c r="IQ569" s="64"/>
      <c r="IR569" s="64"/>
      <c r="IS569" s="64"/>
      <c r="IT569" s="64"/>
      <c r="IU569" s="64"/>
      <c r="IV569" s="64"/>
      <c r="IW569" s="64"/>
      <c r="IX569" s="64"/>
      <c r="IY569" s="64"/>
      <c r="IZ569" s="64"/>
      <c r="JA569" s="64"/>
      <c r="JB569" s="64"/>
      <c r="JC569" s="64"/>
      <c r="JD569" s="64"/>
      <c r="JE569" s="64"/>
      <c r="JF569" s="64"/>
      <c r="JG569" s="64"/>
      <c r="JH569" s="64"/>
      <c r="JI569" s="64"/>
    </row>
    <row r="570" spans="1:269" s="920" customFormat="1" x14ac:dyDescent="0.2">
      <c r="A570" s="116"/>
      <c r="B570" s="64"/>
      <c r="C570" s="64"/>
      <c r="D570" s="64"/>
      <c r="E570" s="64"/>
      <c r="F570" s="64"/>
      <c r="G570" s="64"/>
      <c r="H570" s="64"/>
      <c r="I570" s="64"/>
      <c r="J570" s="116"/>
      <c r="K570" s="116"/>
      <c r="L570" s="116"/>
      <c r="M570" s="116"/>
      <c r="N570" s="116"/>
      <c r="O570" s="116"/>
      <c r="P570" s="116"/>
      <c r="Q570" s="102"/>
      <c r="R570" s="102"/>
      <c r="S570" s="102"/>
      <c r="T570" s="102"/>
      <c r="U570" s="913"/>
      <c r="V570" s="114"/>
      <c r="W570" s="805"/>
      <c r="X570" s="805"/>
      <c r="Y570" s="805"/>
      <c r="Z570" s="914"/>
      <c r="AA570" s="102"/>
      <c r="AB570" s="102"/>
      <c r="AC570" s="102"/>
      <c r="AD570" s="102"/>
      <c r="AE570" s="102"/>
      <c r="AF570" s="102"/>
      <c r="AG570" s="102"/>
      <c r="AH570" s="102"/>
      <c r="AI570" s="102"/>
      <c r="AJ570" s="906"/>
      <c r="AK570" s="102"/>
      <c r="AL570" s="915"/>
      <c r="AM570" s="915"/>
      <c r="AN570" s="114"/>
      <c r="AO570" s="64"/>
      <c r="AP570" s="64"/>
      <c r="AQ570" s="64"/>
      <c r="AR570" s="916"/>
      <c r="AS570" s="916"/>
      <c r="AT570" s="916"/>
      <c r="AU570" s="917"/>
      <c r="AV570" s="917"/>
      <c r="AW570" s="917"/>
      <c r="AX570" s="918"/>
      <c r="AY570" s="916"/>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917"/>
      <c r="CA570" s="917"/>
      <c r="CB570" s="64"/>
      <c r="CC570" s="919"/>
      <c r="CD570" s="919"/>
      <c r="CE570" s="64"/>
      <c r="CF570" s="528"/>
      <c r="CG570" s="529"/>
      <c r="CH570" s="64"/>
      <c r="CI570" s="64"/>
      <c r="CJ570" s="64"/>
      <c r="CK570" s="64"/>
      <c r="CL570" s="64"/>
      <c r="CM570" s="64"/>
      <c r="CN570" s="64"/>
      <c r="CO570" s="64"/>
      <c r="CP570" s="64"/>
      <c r="CQ570" s="64"/>
      <c r="CR570" s="64"/>
      <c r="CS570" s="64"/>
      <c r="CT570" s="64"/>
      <c r="CU570" s="64"/>
      <c r="CV570" s="64"/>
      <c r="CW570" s="64"/>
      <c r="CX570" s="64"/>
      <c r="CY570" s="1011"/>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c r="FC570" s="64"/>
      <c r="FD570" s="64"/>
      <c r="FE570" s="64"/>
      <c r="FF570" s="64"/>
      <c r="FG570" s="64"/>
      <c r="FH570" s="64"/>
      <c r="FI570" s="64"/>
      <c r="FJ570" s="64"/>
      <c r="FK570" s="64"/>
      <c r="FL570" s="64"/>
      <c r="FM570" s="64"/>
      <c r="FN570" s="64"/>
      <c r="FO570" s="64"/>
      <c r="FP570" s="64"/>
      <c r="FQ570" s="64"/>
      <c r="FR570" s="64"/>
      <c r="FS570" s="64"/>
      <c r="FT570" s="64"/>
      <c r="FU570" s="64"/>
      <c r="FV570" s="64"/>
      <c r="FW570" s="64"/>
      <c r="FX570" s="64"/>
      <c r="FY570" s="64"/>
      <c r="FZ570" s="64"/>
      <c r="GA570" s="64"/>
      <c r="GB570" s="64"/>
      <c r="GC570" s="64"/>
      <c r="GD570" s="64"/>
      <c r="GE570" s="64"/>
      <c r="GF570" s="64"/>
      <c r="GG570" s="64"/>
      <c r="GH570" s="64"/>
      <c r="GI570" s="64"/>
      <c r="GJ570" s="64"/>
      <c r="GK570" s="64"/>
      <c r="GL570" s="64"/>
      <c r="GM570" s="64"/>
      <c r="GN570" s="64"/>
      <c r="GO570" s="64"/>
      <c r="GP570" s="64"/>
      <c r="GQ570" s="64"/>
      <c r="GR570" s="64"/>
      <c r="GS570" s="64"/>
      <c r="GT570" s="64"/>
      <c r="GU570" s="64"/>
      <c r="GV570" s="64"/>
      <c r="GW570" s="64"/>
      <c r="GX570" s="64"/>
      <c r="GY570" s="64"/>
      <c r="GZ570" s="64"/>
      <c r="HA570" s="64"/>
      <c r="HB570" s="64"/>
      <c r="HC570" s="64"/>
      <c r="HD570" s="64"/>
      <c r="HE570" s="64"/>
      <c r="HF570" s="64"/>
      <c r="HG570" s="64"/>
      <c r="HH570" s="64"/>
      <c r="HI570" s="64"/>
      <c r="HJ570" s="64"/>
      <c r="HK570" s="64"/>
      <c r="HL570" s="64"/>
      <c r="HM570" s="64"/>
      <c r="HN570" s="64"/>
      <c r="HO570" s="64"/>
      <c r="HP570" s="64"/>
      <c r="HQ570" s="64"/>
      <c r="HR570" s="64"/>
      <c r="HS570" s="64"/>
      <c r="HT570" s="64"/>
      <c r="HU570" s="64"/>
      <c r="HV570" s="64"/>
      <c r="HW570" s="64"/>
      <c r="HX570" s="64"/>
      <c r="HY570" s="64"/>
      <c r="HZ570" s="64"/>
      <c r="IA570" s="64"/>
      <c r="IB570" s="64"/>
      <c r="IC570" s="64"/>
      <c r="ID570" s="64"/>
      <c r="IE570" s="64"/>
      <c r="IF570" s="64"/>
      <c r="IG570" s="64"/>
      <c r="IH570" s="64"/>
      <c r="II570" s="64"/>
      <c r="IJ570" s="64"/>
      <c r="IK570" s="64"/>
      <c r="IL570" s="64"/>
      <c r="IM570" s="64"/>
      <c r="IN570" s="64"/>
      <c r="IO570" s="64"/>
      <c r="IP570" s="64"/>
      <c r="IQ570" s="64"/>
      <c r="IR570" s="64"/>
      <c r="IS570" s="64"/>
      <c r="IT570" s="64"/>
      <c r="IU570" s="64"/>
      <c r="IV570" s="64"/>
      <c r="IW570" s="64"/>
      <c r="IX570" s="64"/>
      <c r="IY570" s="64"/>
      <c r="IZ570" s="64"/>
      <c r="JA570" s="64"/>
      <c r="JB570" s="64"/>
      <c r="JC570" s="64"/>
      <c r="JD570" s="64"/>
      <c r="JE570" s="64"/>
      <c r="JF570" s="64"/>
      <c r="JG570" s="64"/>
      <c r="JH570" s="64"/>
      <c r="JI570" s="64"/>
    </row>
    <row r="571" spans="1:269" s="920" customFormat="1" x14ac:dyDescent="0.2">
      <c r="A571" s="116"/>
      <c r="B571" s="64"/>
      <c r="C571" s="64"/>
      <c r="D571" s="64"/>
      <c r="E571" s="64"/>
      <c r="F571" s="64"/>
      <c r="G571" s="64"/>
      <c r="H571" s="64"/>
      <c r="I571" s="64"/>
      <c r="J571" s="116"/>
      <c r="K571" s="116"/>
      <c r="L571" s="116"/>
      <c r="M571" s="116"/>
      <c r="N571" s="116"/>
      <c r="O571" s="116"/>
      <c r="P571" s="116"/>
      <c r="Q571" s="102"/>
      <c r="R571" s="102"/>
      <c r="S571" s="102"/>
      <c r="T571" s="102"/>
      <c r="U571" s="913"/>
      <c r="V571" s="114"/>
      <c r="W571" s="805"/>
      <c r="X571" s="805"/>
      <c r="Y571" s="805"/>
      <c r="Z571" s="914"/>
      <c r="AA571" s="102"/>
      <c r="AB571" s="102"/>
      <c r="AC571" s="102"/>
      <c r="AD571" s="102"/>
      <c r="AE571" s="102"/>
      <c r="AF571" s="102"/>
      <c r="AG571" s="102"/>
      <c r="AH571" s="102"/>
      <c r="AI571" s="102"/>
      <c r="AJ571" s="906"/>
      <c r="AK571" s="102"/>
      <c r="AL571" s="915"/>
      <c r="AM571" s="915"/>
      <c r="AN571" s="114"/>
      <c r="AO571" s="64"/>
      <c r="AP571" s="64"/>
      <c r="AQ571" s="64"/>
      <c r="AR571" s="916"/>
      <c r="AS571" s="916"/>
      <c r="AT571" s="916"/>
      <c r="AU571" s="917"/>
      <c r="AV571" s="917"/>
      <c r="AW571" s="917"/>
      <c r="AX571" s="918"/>
      <c r="AY571" s="916"/>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917"/>
      <c r="CA571" s="917"/>
      <c r="CB571" s="64"/>
      <c r="CC571" s="919"/>
      <c r="CD571" s="919"/>
      <c r="CE571" s="64"/>
      <c r="CF571" s="528"/>
      <c r="CG571" s="529"/>
      <c r="CH571" s="64"/>
      <c r="CI571" s="64"/>
      <c r="CJ571" s="64"/>
      <c r="CK571" s="64"/>
      <c r="CL571" s="64"/>
      <c r="CM571" s="64"/>
      <c r="CN571" s="64"/>
      <c r="CO571" s="64"/>
      <c r="CP571" s="64"/>
      <c r="CQ571" s="64"/>
      <c r="CR571" s="64"/>
      <c r="CS571" s="64"/>
      <c r="CT571" s="64"/>
      <c r="CU571" s="64"/>
      <c r="CV571" s="64"/>
      <c r="CW571" s="64"/>
      <c r="CX571" s="64"/>
      <c r="CY571" s="1011"/>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c r="FC571" s="64"/>
      <c r="FD571" s="64"/>
      <c r="FE571" s="64"/>
      <c r="FF571" s="64"/>
      <c r="FG571" s="64"/>
      <c r="FH571" s="64"/>
      <c r="FI571" s="64"/>
      <c r="FJ571" s="64"/>
      <c r="FK571" s="64"/>
      <c r="FL571" s="64"/>
      <c r="FM571" s="64"/>
      <c r="FN571" s="64"/>
      <c r="FO571" s="64"/>
      <c r="FP571" s="64"/>
      <c r="FQ571" s="64"/>
      <c r="FR571" s="64"/>
      <c r="FS571" s="64"/>
      <c r="FT571" s="64"/>
      <c r="FU571" s="64"/>
      <c r="FV571" s="64"/>
      <c r="FW571" s="64"/>
      <c r="FX571" s="64"/>
      <c r="FY571" s="64"/>
      <c r="FZ571" s="64"/>
      <c r="GA571" s="64"/>
      <c r="GB571" s="64"/>
      <c r="GC571" s="64"/>
      <c r="GD571" s="64"/>
      <c r="GE571" s="64"/>
      <c r="GF571" s="64"/>
      <c r="GG571" s="64"/>
      <c r="GH571" s="64"/>
      <c r="GI571" s="64"/>
      <c r="GJ571" s="64"/>
      <c r="GK571" s="64"/>
      <c r="GL571" s="64"/>
      <c r="GM571" s="64"/>
      <c r="GN571" s="64"/>
      <c r="GO571" s="64"/>
      <c r="GP571" s="64"/>
      <c r="GQ571" s="64"/>
      <c r="GR571" s="64"/>
      <c r="GS571" s="64"/>
      <c r="GT571" s="64"/>
      <c r="GU571" s="64"/>
      <c r="GV571" s="64"/>
      <c r="GW571" s="64"/>
      <c r="GX571" s="64"/>
      <c r="GY571" s="64"/>
      <c r="GZ571" s="64"/>
      <c r="HA571" s="64"/>
      <c r="HB571" s="64"/>
      <c r="HC571" s="64"/>
      <c r="HD571" s="64"/>
      <c r="HE571" s="64"/>
      <c r="HF571" s="64"/>
      <c r="HG571" s="64"/>
      <c r="HH571" s="64"/>
      <c r="HI571" s="64"/>
      <c r="HJ571" s="64"/>
      <c r="HK571" s="64"/>
      <c r="HL571" s="64"/>
      <c r="HM571" s="64"/>
      <c r="HN571" s="64"/>
      <c r="HO571" s="64"/>
      <c r="HP571" s="64"/>
      <c r="HQ571" s="64"/>
      <c r="HR571" s="64"/>
      <c r="HS571" s="64"/>
      <c r="HT571" s="64"/>
      <c r="HU571" s="64"/>
      <c r="HV571" s="64"/>
      <c r="HW571" s="64"/>
      <c r="HX571" s="64"/>
      <c r="HY571" s="64"/>
      <c r="HZ571" s="64"/>
      <c r="IA571" s="64"/>
      <c r="IB571" s="64"/>
      <c r="IC571" s="64"/>
      <c r="ID571" s="64"/>
      <c r="IE571" s="64"/>
      <c r="IF571" s="64"/>
      <c r="IG571" s="64"/>
      <c r="IH571" s="64"/>
      <c r="II571" s="64"/>
      <c r="IJ571" s="64"/>
      <c r="IK571" s="64"/>
      <c r="IL571" s="64"/>
      <c r="IM571" s="64"/>
      <c r="IN571" s="64"/>
      <c r="IO571" s="64"/>
      <c r="IP571" s="64"/>
      <c r="IQ571" s="64"/>
      <c r="IR571" s="64"/>
      <c r="IS571" s="64"/>
      <c r="IT571" s="64"/>
      <c r="IU571" s="64"/>
      <c r="IV571" s="64"/>
      <c r="IW571" s="64"/>
      <c r="IX571" s="64"/>
      <c r="IY571" s="64"/>
      <c r="IZ571" s="64"/>
      <c r="JA571" s="64"/>
      <c r="JB571" s="64"/>
      <c r="JC571" s="64"/>
      <c r="JD571" s="64"/>
      <c r="JE571" s="64"/>
      <c r="JF571" s="64"/>
      <c r="JG571" s="64"/>
      <c r="JH571" s="64"/>
      <c r="JI571" s="64"/>
    </row>
    <row r="572" spans="1:269" s="920" customFormat="1" x14ac:dyDescent="0.2">
      <c r="A572" s="116"/>
      <c r="B572" s="64"/>
      <c r="C572" s="64"/>
      <c r="D572" s="64"/>
      <c r="E572" s="64"/>
      <c r="F572" s="64"/>
      <c r="G572" s="64"/>
      <c r="H572" s="64"/>
      <c r="I572" s="64"/>
      <c r="J572" s="116"/>
      <c r="K572" s="116"/>
      <c r="L572" s="116"/>
      <c r="M572" s="116"/>
      <c r="N572" s="116"/>
      <c r="O572" s="116"/>
      <c r="P572" s="116"/>
      <c r="Q572" s="102"/>
      <c r="R572" s="102"/>
      <c r="S572" s="102"/>
      <c r="T572" s="102"/>
      <c r="U572" s="913"/>
      <c r="V572" s="114"/>
      <c r="W572" s="805"/>
      <c r="X572" s="805"/>
      <c r="Y572" s="805"/>
      <c r="Z572" s="914"/>
      <c r="AA572" s="102"/>
      <c r="AB572" s="102"/>
      <c r="AC572" s="102"/>
      <c r="AD572" s="102"/>
      <c r="AE572" s="102"/>
      <c r="AF572" s="102"/>
      <c r="AG572" s="102"/>
      <c r="AH572" s="102"/>
      <c r="AI572" s="102"/>
      <c r="AJ572" s="906"/>
      <c r="AK572" s="102"/>
      <c r="AL572" s="915"/>
      <c r="AM572" s="915"/>
      <c r="AN572" s="114"/>
      <c r="AO572" s="64"/>
      <c r="AP572" s="64"/>
      <c r="AQ572" s="64"/>
      <c r="AR572" s="916"/>
      <c r="AS572" s="916"/>
      <c r="AT572" s="916"/>
      <c r="AU572" s="917"/>
      <c r="AV572" s="917"/>
      <c r="AW572" s="917"/>
      <c r="AX572" s="918"/>
      <c r="AY572" s="916"/>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917"/>
      <c r="CA572" s="917"/>
      <c r="CB572" s="64"/>
      <c r="CC572" s="919"/>
      <c r="CD572" s="919"/>
      <c r="CE572" s="64"/>
      <c r="CF572" s="528"/>
      <c r="CG572" s="529"/>
      <c r="CH572" s="64"/>
      <c r="CI572" s="64"/>
      <c r="CJ572" s="64"/>
      <c r="CK572" s="64"/>
      <c r="CL572" s="64"/>
      <c r="CM572" s="64"/>
      <c r="CN572" s="64"/>
      <c r="CO572" s="64"/>
      <c r="CP572" s="64"/>
      <c r="CQ572" s="64"/>
      <c r="CR572" s="64"/>
      <c r="CS572" s="64"/>
      <c r="CT572" s="64"/>
      <c r="CU572" s="64"/>
      <c r="CV572" s="64"/>
      <c r="CW572" s="64"/>
      <c r="CX572" s="64"/>
      <c r="CY572" s="1011"/>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c r="FC572" s="64"/>
      <c r="FD572" s="64"/>
      <c r="FE572" s="64"/>
      <c r="FF572" s="64"/>
      <c r="FG572" s="64"/>
      <c r="FH572" s="64"/>
      <c r="FI572" s="64"/>
      <c r="FJ572" s="64"/>
      <c r="FK572" s="64"/>
      <c r="FL572" s="64"/>
      <c r="FM572" s="64"/>
      <c r="FN572" s="64"/>
      <c r="FO572" s="64"/>
      <c r="FP572" s="64"/>
      <c r="FQ572" s="64"/>
      <c r="FR572" s="64"/>
      <c r="FS572" s="64"/>
      <c r="FT572" s="64"/>
      <c r="FU572" s="64"/>
      <c r="FV572" s="64"/>
      <c r="FW572" s="64"/>
      <c r="FX572" s="64"/>
      <c r="FY572" s="64"/>
      <c r="FZ572" s="64"/>
      <c r="GA572" s="64"/>
      <c r="GB572" s="64"/>
      <c r="GC572" s="64"/>
      <c r="GD572" s="64"/>
      <c r="GE572" s="64"/>
      <c r="GF572" s="64"/>
      <c r="GG572" s="64"/>
      <c r="GH572" s="64"/>
      <c r="GI572" s="64"/>
      <c r="GJ572" s="64"/>
      <c r="GK572" s="64"/>
      <c r="GL572" s="64"/>
      <c r="GM572" s="64"/>
      <c r="GN572" s="64"/>
      <c r="GO572" s="64"/>
      <c r="GP572" s="64"/>
      <c r="GQ572" s="64"/>
      <c r="GR572" s="64"/>
      <c r="GS572" s="64"/>
      <c r="GT572" s="64"/>
      <c r="GU572" s="64"/>
      <c r="GV572" s="64"/>
      <c r="GW572" s="64"/>
      <c r="GX572" s="64"/>
      <c r="GY572" s="64"/>
      <c r="GZ572" s="64"/>
      <c r="HA572" s="64"/>
      <c r="HB572" s="64"/>
      <c r="HC572" s="64"/>
      <c r="HD572" s="64"/>
      <c r="HE572" s="64"/>
      <c r="HF572" s="64"/>
      <c r="HG572" s="64"/>
      <c r="HH572" s="64"/>
      <c r="HI572" s="64"/>
      <c r="HJ572" s="64"/>
      <c r="HK572" s="64"/>
      <c r="HL572" s="64"/>
      <c r="HM572" s="64"/>
      <c r="HN572" s="64"/>
      <c r="HO572" s="64"/>
      <c r="HP572" s="64"/>
      <c r="HQ572" s="64"/>
      <c r="HR572" s="64"/>
      <c r="HS572" s="64"/>
      <c r="HT572" s="64"/>
      <c r="HU572" s="64"/>
      <c r="HV572" s="64"/>
      <c r="HW572" s="64"/>
      <c r="HX572" s="64"/>
      <c r="HY572" s="64"/>
      <c r="HZ572" s="64"/>
      <c r="IA572" s="64"/>
      <c r="IB572" s="64"/>
      <c r="IC572" s="64"/>
      <c r="ID572" s="64"/>
      <c r="IE572" s="64"/>
      <c r="IF572" s="64"/>
      <c r="IG572" s="64"/>
      <c r="IH572" s="64"/>
      <c r="II572" s="64"/>
      <c r="IJ572" s="64"/>
      <c r="IK572" s="64"/>
      <c r="IL572" s="64"/>
      <c r="IM572" s="64"/>
      <c r="IN572" s="64"/>
      <c r="IO572" s="64"/>
      <c r="IP572" s="64"/>
      <c r="IQ572" s="64"/>
      <c r="IR572" s="64"/>
      <c r="IS572" s="64"/>
      <c r="IT572" s="64"/>
      <c r="IU572" s="64"/>
      <c r="IV572" s="64"/>
      <c r="IW572" s="64"/>
      <c r="IX572" s="64"/>
      <c r="IY572" s="64"/>
      <c r="IZ572" s="64"/>
      <c r="JA572" s="64"/>
      <c r="JB572" s="64"/>
      <c r="JC572" s="64"/>
      <c r="JD572" s="64"/>
      <c r="JE572" s="64"/>
      <c r="JF572" s="64"/>
      <c r="JG572" s="64"/>
      <c r="JH572" s="64"/>
      <c r="JI572" s="64"/>
    </row>
    <row r="573" spans="1:269" s="920" customFormat="1" x14ac:dyDescent="0.2">
      <c r="A573" s="116"/>
      <c r="B573" s="64"/>
      <c r="C573" s="64"/>
      <c r="D573" s="64"/>
      <c r="E573" s="64"/>
      <c r="F573" s="64"/>
      <c r="G573" s="64"/>
      <c r="H573" s="64"/>
      <c r="I573" s="64"/>
      <c r="J573" s="116"/>
      <c r="K573" s="116"/>
      <c r="L573" s="116"/>
      <c r="M573" s="116"/>
      <c r="N573" s="116"/>
      <c r="O573" s="116"/>
      <c r="P573" s="116"/>
      <c r="Q573" s="102"/>
      <c r="R573" s="102"/>
      <c r="S573" s="102"/>
      <c r="T573" s="102"/>
      <c r="U573" s="913"/>
      <c r="V573" s="114"/>
      <c r="W573" s="805"/>
      <c r="X573" s="805"/>
      <c r="Y573" s="805"/>
      <c r="Z573" s="914"/>
      <c r="AA573" s="102"/>
      <c r="AB573" s="102"/>
      <c r="AC573" s="102"/>
      <c r="AD573" s="102"/>
      <c r="AE573" s="102"/>
      <c r="AF573" s="102"/>
      <c r="AG573" s="102"/>
      <c r="AH573" s="102"/>
      <c r="AI573" s="102"/>
      <c r="AJ573" s="906"/>
      <c r="AK573" s="102"/>
      <c r="AL573" s="915"/>
      <c r="AM573" s="915"/>
      <c r="AN573" s="114"/>
      <c r="AO573" s="64"/>
      <c r="AP573" s="64"/>
      <c r="AQ573" s="64"/>
      <c r="AR573" s="916"/>
      <c r="AS573" s="916"/>
      <c r="AT573" s="916"/>
      <c r="AU573" s="917"/>
      <c r="AV573" s="917"/>
      <c r="AW573" s="917"/>
      <c r="AX573" s="918"/>
      <c r="AY573" s="916"/>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917"/>
      <c r="CA573" s="917"/>
      <c r="CB573" s="64"/>
      <c r="CC573" s="919"/>
      <c r="CD573" s="919"/>
      <c r="CE573" s="64"/>
      <c r="CF573" s="528"/>
      <c r="CG573" s="529"/>
      <c r="CH573" s="64"/>
      <c r="CI573" s="64"/>
      <c r="CJ573" s="64"/>
      <c r="CK573" s="64"/>
      <c r="CL573" s="64"/>
      <c r="CM573" s="64"/>
      <c r="CN573" s="64"/>
      <c r="CO573" s="64"/>
      <c r="CP573" s="64"/>
      <c r="CQ573" s="64"/>
      <c r="CR573" s="64"/>
      <c r="CS573" s="64"/>
      <c r="CT573" s="64"/>
      <c r="CU573" s="64"/>
      <c r="CV573" s="64"/>
      <c r="CW573" s="64"/>
      <c r="CX573" s="64"/>
      <c r="CY573" s="1011"/>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c r="FC573" s="64"/>
      <c r="FD573" s="64"/>
      <c r="FE573" s="64"/>
      <c r="FF573" s="64"/>
      <c r="FG573" s="64"/>
      <c r="FH573" s="64"/>
      <c r="FI573" s="64"/>
      <c r="FJ573" s="64"/>
      <c r="FK573" s="64"/>
      <c r="FL573" s="64"/>
      <c r="FM573" s="64"/>
      <c r="FN573" s="64"/>
      <c r="FO573" s="64"/>
      <c r="FP573" s="64"/>
      <c r="FQ573" s="64"/>
      <c r="FR573" s="64"/>
      <c r="FS573" s="64"/>
      <c r="FT573" s="64"/>
      <c r="FU573" s="64"/>
      <c r="FV573" s="64"/>
      <c r="FW573" s="64"/>
      <c r="FX573" s="64"/>
      <c r="FY573" s="64"/>
      <c r="FZ573" s="64"/>
      <c r="GA573" s="64"/>
      <c r="GB573" s="64"/>
      <c r="GC573" s="64"/>
      <c r="GD573" s="64"/>
      <c r="GE573" s="64"/>
      <c r="GF573" s="64"/>
      <c r="GG573" s="64"/>
      <c r="GH573" s="64"/>
      <c r="GI573" s="64"/>
      <c r="GJ573" s="64"/>
      <c r="GK573" s="64"/>
      <c r="GL573" s="64"/>
      <c r="GM573" s="64"/>
      <c r="GN573" s="64"/>
      <c r="GO573" s="64"/>
      <c r="GP573" s="64"/>
      <c r="GQ573" s="64"/>
      <c r="GR573" s="64"/>
      <c r="GS573" s="64"/>
      <c r="GT573" s="64"/>
      <c r="GU573" s="64"/>
      <c r="GV573" s="64"/>
      <c r="GW573" s="64"/>
      <c r="GX573" s="64"/>
      <c r="GY573" s="64"/>
      <c r="GZ573" s="64"/>
      <c r="HA573" s="64"/>
      <c r="HB573" s="64"/>
      <c r="HC573" s="64"/>
      <c r="HD573" s="64"/>
      <c r="HE573" s="64"/>
      <c r="HF573" s="64"/>
      <c r="HG573" s="64"/>
      <c r="HH573" s="64"/>
      <c r="HI573" s="64"/>
      <c r="HJ573" s="64"/>
      <c r="HK573" s="64"/>
      <c r="HL573" s="64"/>
      <c r="HM573" s="64"/>
      <c r="HN573" s="64"/>
      <c r="HO573" s="64"/>
      <c r="HP573" s="64"/>
      <c r="HQ573" s="64"/>
      <c r="HR573" s="64"/>
      <c r="HS573" s="64"/>
      <c r="HT573" s="64"/>
      <c r="HU573" s="64"/>
      <c r="HV573" s="64"/>
      <c r="HW573" s="64"/>
      <c r="HX573" s="64"/>
      <c r="HY573" s="64"/>
      <c r="HZ573" s="64"/>
      <c r="IA573" s="64"/>
      <c r="IB573" s="64"/>
      <c r="IC573" s="64"/>
      <c r="ID573" s="64"/>
      <c r="IE573" s="64"/>
      <c r="IF573" s="64"/>
      <c r="IG573" s="64"/>
      <c r="IH573" s="64"/>
      <c r="II573" s="64"/>
      <c r="IJ573" s="64"/>
      <c r="IK573" s="64"/>
      <c r="IL573" s="64"/>
      <c r="IM573" s="64"/>
      <c r="IN573" s="64"/>
      <c r="IO573" s="64"/>
      <c r="IP573" s="64"/>
      <c r="IQ573" s="64"/>
      <c r="IR573" s="64"/>
      <c r="IS573" s="64"/>
      <c r="IT573" s="64"/>
      <c r="IU573" s="64"/>
      <c r="IV573" s="64"/>
      <c r="IW573" s="64"/>
      <c r="IX573" s="64"/>
      <c r="IY573" s="64"/>
      <c r="IZ573" s="64"/>
      <c r="JA573" s="64"/>
      <c r="JB573" s="64"/>
      <c r="JC573" s="64"/>
      <c r="JD573" s="64"/>
      <c r="JE573" s="64"/>
      <c r="JF573" s="64"/>
      <c r="JG573" s="64"/>
      <c r="JH573" s="64"/>
      <c r="JI573" s="64"/>
    </row>
    <row r="574" spans="1:269" s="920" customFormat="1" x14ac:dyDescent="0.2">
      <c r="A574" s="116"/>
      <c r="B574" s="64"/>
      <c r="C574" s="64"/>
      <c r="D574" s="64"/>
      <c r="E574" s="64"/>
      <c r="F574" s="64"/>
      <c r="G574" s="64"/>
      <c r="H574" s="64"/>
      <c r="I574" s="64"/>
      <c r="J574" s="116"/>
      <c r="K574" s="116"/>
      <c r="L574" s="116"/>
      <c r="M574" s="116"/>
      <c r="N574" s="116"/>
      <c r="O574" s="116"/>
      <c r="P574" s="116"/>
      <c r="Q574" s="102"/>
      <c r="R574" s="102"/>
      <c r="S574" s="102"/>
      <c r="T574" s="102"/>
      <c r="U574" s="913"/>
      <c r="V574" s="114"/>
      <c r="W574" s="805"/>
      <c r="X574" s="805"/>
      <c r="Y574" s="805"/>
      <c r="Z574" s="914"/>
      <c r="AA574" s="102"/>
      <c r="AB574" s="102"/>
      <c r="AC574" s="102"/>
      <c r="AD574" s="102"/>
      <c r="AE574" s="102"/>
      <c r="AF574" s="102"/>
      <c r="AG574" s="102"/>
      <c r="AH574" s="102"/>
      <c r="AI574" s="102"/>
      <c r="AJ574" s="906"/>
      <c r="AK574" s="102"/>
      <c r="AL574" s="915"/>
      <c r="AM574" s="915"/>
      <c r="AN574" s="114"/>
      <c r="AO574" s="64"/>
      <c r="AP574" s="64"/>
      <c r="AQ574" s="64"/>
      <c r="AR574" s="916"/>
      <c r="AS574" s="916"/>
      <c r="AT574" s="916"/>
      <c r="AU574" s="917"/>
      <c r="AV574" s="917"/>
      <c r="AW574" s="917"/>
      <c r="AX574" s="918"/>
      <c r="AY574" s="916"/>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917"/>
      <c r="CA574" s="917"/>
      <c r="CB574" s="64"/>
      <c r="CC574" s="919"/>
      <c r="CD574" s="919"/>
      <c r="CE574" s="64"/>
      <c r="CF574" s="528"/>
      <c r="CG574" s="529"/>
      <c r="CH574" s="64"/>
      <c r="CI574" s="64"/>
      <c r="CJ574" s="64"/>
      <c r="CK574" s="64"/>
      <c r="CL574" s="64"/>
      <c r="CM574" s="64"/>
      <c r="CN574" s="64"/>
      <c r="CO574" s="64"/>
      <c r="CP574" s="64"/>
      <c r="CQ574" s="64"/>
      <c r="CR574" s="64"/>
      <c r="CS574" s="64"/>
      <c r="CT574" s="64"/>
      <c r="CU574" s="64"/>
      <c r="CV574" s="64"/>
      <c r="CW574" s="64"/>
      <c r="CX574" s="64"/>
      <c r="CY574" s="1011"/>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c r="FC574" s="64"/>
      <c r="FD574" s="64"/>
      <c r="FE574" s="64"/>
      <c r="FF574" s="64"/>
      <c r="FG574" s="64"/>
      <c r="FH574" s="64"/>
      <c r="FI574" s="64"/>
      <c r="FJ574" s="64"/>
      <c r="FK574" s="64"/>
      <c r="FL574" s="64"/>
      <c r="FM574" s="64"/>
      <c r="FN574" s="64"/>
      <c r="FO574" s="64"/>
      <c r="FP574" s="64"/>
      <c r="FQ574" s="64"/>
      <c r="FR574" s="64"/>
      <c r="FS574" s="64"/>
      <c r="FT574" s="64"/>
      <c r="FU574" s="64"/>
      <c r="FV574" s="64"/>
      <c r="FW574" s="64"/>
      <c r="FX574" s="64"/>
      <c r="FY574" s="64"/>
      <c r="FZ574" s="64"/>
      <c r="GA574" s="64"/>
      <c r="GB574" s="64"/>
      <c r="GC574" s="64"/>
      <c r="GD574" s="64"/>
      <c r="GE574" s="64"/>
      <c r="GF574" s="64"/>
      <c r="GG574" s="64"/>
      <c r="GH574" s="64"/>
      <c r="GI574" s="64"/>
      <c r="GJ574" s="64"/>
      <c r="GK574" s="64"/>
      <c r="GL574" s="64"/>
      <c r="GM574" s="64"/>
      <c r="GN574" s="64"/>
      <c r="GO574" s="64"/>
      <c r="GP574" s="64"/>
      <c r="GQ574" s="64"/>
      <c r="GR574" s="64"/>
      <c r="GS574" s="64"/>
      <c r="GT574" s="64"/>
      <c r="GU574" s="64"/>
      <c r="GV574" s="64"/>
      <c r="GW574" s="64"/>
      <c r="GX574" s="64"/>
      <c r="GY574" s="64"/>
      <c r="GZ574" s="64"/>
      <c r="HA574" s="64"/>
      <c r="HB574" s="64"/>
      <c r="HC574" s="64"/>
      <c r="HD574" s="64"/>
      <c r="HE574" s="64"/>
      <c r="HF574" s="64"/>
      <c r="HG574" s="64"/>
      <c r="HH574" s="64"/>
      <c r="HI574" s="64"/>
      <c r="HJ574" s="64"/>
      <c r="HK574" s="64"/>
      <c r="HL574" s="64"/>
      <c r="HM574" s="64"/>
      <c r="HN574" s="64"/>
      <c r="HO574" s="64"/>
      <c r="HP574" s="64"/>
      <c r="HQ574" s="64"/>
      <c r="HR574" s="64"/>
      <c r="HS574" s="64"/>
      <c r="HT574" s="64"/>
      <c r="HU574" s="64"/>
      <c r="HV574" s="64"/>
      <c r="HW574" s="64"/>
      <c r="HX574" s="64"/>
      <c r="HY574" s="64"/>
      <c r="HZ574" s="64"/>
      <c r="IA574" s="64"/>
      <c r="IB574" s="64"/>
      <c r="IC574" s="64"/>
      <c r="ID574" s="64"/>
      <c r="IE574" s="64"/>
      <c r="IF574" s="64"/>
      <c r="IG574" s="64"/>
      <c r="IH574" s="64"/>
      <c r="II574" s="64"/>
      <c r="IJ574" s="64"/>
      <c r="IK574" s="64"/>
      <c r="IL574" s="64"/>
      <c r="IM574" s="64"/>
      <c r="IN574" s="64"/>
      <c r="IO574" s="64"/>
      <c r="IP574" s="64"/>
      <c r="IQ574" s="64"/>
      <c r="IR574" s="64"/>
      <c r="IS574" s="64"/>
      <c r="IT574" s="64"/>
      <c r="IU574" s="64"/>
      <c r="IV574" s="64"/>
      <c r="IW574" s="64"/>
      <c r="IX574" s="64"/>
      <c r="IY574" s="64"/>
      <c r="IZ574" s="64"/>
      <c r="JA574" s="64"/>
      <c r="JB574" s="64"/>
      <c r="JC574" s="64"/>
      <c r="JD574" s="64"/>
      <c r="JE574" s="64"/>
      <c r="JF574" s="64"/>
      <c r="JG574" s="64"/>
      <c r="JH574" s="64"/>
      <c r="JI574" s="64"/>
    </row>
    <row r="575" spans="1:269" s="920" customFormat="1" x14ac:dyDescent="0.2">
      <c r="A575" s="116"/>
      <c r="B575" s="64"/>
      <c r="C575" s="64"/>
      <c r="D575" s="64"/>
      <c r="E575" s="64"/>
      <c r="F575" s="64"/>
      <c r="G575" s="64"/>
      <c r="H575" s="64"/>
      <c r="I575" s="64"/>
      <c r="J575" s="116"/>
      <c r="K575" s="116"/>
      <c r="L575" s="116"/>
      <c r="M575" s="116"/>
      <c r="N575" s="116"/>
      <c r="O575" s="116"/>
      <c r="P575" s="116"/>
      <c r="Q575" s="102"/>
      <c r="R575" s="102"/>
      <c r="S575" s="102"/>
      <c r="T575" s="102"/>
      <c r="U575" s="913"/>
      <c r="V575" s="114"/>
      <c r="W575" s="805"/>
      <c r="X575" s="805"/>
      <c r="Y575" s="805"/>
      <c r="Z575" s="914"/>
      <c r="AA575" s="102"/>
      <c r="AB575" s="102"/>
      <c r="AC575" s="102"/>
      <c r="AD575" s="102"/>
      <c r="AE575" s="102"/>
      <c r="AF575" s="102"/>
      <c r="AG575" s="102"/>
      <c r="AH575" s="102"/>
      <c r="AI575" s="102"/>
      <c r="AJ575" s="906"/>
      <c r="AK575" s="102"/>
      <c r="AL575" s="915"/>
      <c r="AM575" s="915"/>
      <c r="AN575" s="114"/>
      <c r="AO575" s="64"/>
      <c r="AP575" s="64"/>
      <c r="AQ575" s="64"/>
      <c r="AR575" s="916"/>
      <c r="AS575" s="916"/>
      <c r="AT575" s="916"/>
      <c r="AU575" s="917"/>
      <c r="AV575" s="917"/>
      <c r="AW575" s="917"/>
      <c r="AX575" s="918"/>
      <c r="AY575" s="916"/>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917"/>
      <c r="CA575" s="917"/>
      <c r="CB575" s="64"/>
      <c r="CC575" s="919"/>
      <c r="CD575" s="919"/>
      <c r="CE575" s="64"/>
      <c r="CF575" s="528"/>
      <c r="CG575" s="529"/>
      <c r="CH575" s="64"/>
      <c r="CI575" s="64"/>
      <c r="CJ575" s="64"/>
      <c r="CK575" s="64"/>
      <c r="CL575" s="64"/>
      <c r="CM575" s="64"/>
      <c r="CN575" s="64"/>
      <c r="CO575" s="64"/>
      <c r="CP575" s="64"/>
      <c r="CQ575" s="64"/>
      <c r="CR575" s="64"/>
      <c r="CS575" s="64"/>
      <c r="CT575" s="64"/>
      <c r="CU575" s="64"/>
      <c r="CV575" s="64"/>
      <c r="CW575" s="64"/>
      <c r="CX575" s="64"/>
      <c r="CY575" s="1011"/>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c r="FC575" s="64"/>
      <c r="FD575" s="64"/>
      <c r="FE575" s="64"/>
      <c r="FF575" s="64"/>
      <c r="FG575" s="64"/>
      <c r="FH575" s="64"/>
      <c r="FI575" s="64"/>
      <c r="FJ575" s="64"/>
      <c r="FK575" s="64"/>
      <c r="FL575" s="64"/>
      <c r="FM575" s="64"/>
      <c r="FN575" s="64"/>
      <c r="FO575" s="64"/>
      <c r="FP575" s="64"/>
      <c r="FQ575" s="64"/>
      <c r="FR575" s="64"/>
      <c r="FS575" s="64"/>
      <c r="FT575" s="64"/>
      <c r="FU575" s="64"/>
      <c r="FV575" s="64"/>
      <c r="FW575" s="64"/>
      <c r="FX575" s="64"/>
      <c r="FY575" s="64"/>
      <c r="FZ575" s="64"/>
      <c r="GA575" s="64"/>
      <c r="GB575" s="64"/>
      <c r="GC575" s="64"/>
      <c r="GD575" s="64"/>
      <c r="GE575" s="64"/>
      <c r="GF575" s="64"/>
      <c r="GG575" s="64"/>
      <c r="GH575" s="64"/>
      <c r="GI575" s="64"/>
      <c r="GJ575" s="64"/>
      <c r="GK575" s="64"/>
      <c r="GL575" s="64"/>
      <c r="GM575" s="64"/>
      <c r="GN575" s="64"/>
      <c r="GO575" s="64"/>
      <c r="GP575" s="64"/>
      <c r="GQ575" s="64"/>
      <c r="GR575" s="64"/>
      <c r="GS575" s="64"/>
      <c r="GT575" s="64"/>
      <c r="GU575" s="64"/>
      <c r="GV575" s="64"/>
      <c r="GW575" s="64"/>
      <c r="GX575" s="64"/>
      <c r="GY575" s="64"/>
      <c r="GZ575" s="64"/>
      <c r="HA575" s="64"/>
      <c r="HB575" s="64"/>
      <c r="HC575" s="64"/>
      <c r="HD575" s="64"/>
      <c r="HE575" s="64"/>
      <c r="HF575" s="64"/>
      <c r="HG575" s="64"/>
      <c r="HH575" s="64"/>
      <c r="HI575" s="64"/>
      <c r="HJ575" s="64"/>
      <c r="HK575" s="64"/>
      <c r="HL575" s="64"/>
      <c r="HM575" s="64"/>
      <c r="HN575" s="64"/>
      <c r="HO575" s="64"/>
      <c r="HP575" s="64"/>
      <c r="HQ575" s="64"/>
      <c r="HR575" s="64"/>
      <c r="HS575" s="64"/>
      <c r="HT575" s="64"/>
      <c r="HU575" s="64"/>
      <c r="HV575" s="64"/>
      <c r="HW575" s="64"/>
      <c r="HX575" s="64"/>
      <c r="HY575" s="64"/>
      <c r="HZ575" s="64"/>
      <c r="IA575" s="64"/>
      <c r="IB575" s="64"/>
      <c r="IC575" s="64"/>
      <c r="ID575" s="64"/>
      <c r="IE575" s="64"/>
      <c r="IF575" s="64"/>
      <c r="IG575" s="64"/>
      <c r="IH575" s="64"/>
      <c r="II575" s="64"/>
      <c r="IJ575" s="64"/>
      <c r="IK575" s="64"/>
      <c r="IL575" s="64"/>
      <c r="IM575" s="64"/>
      <c r="IN575" s="64"/>
      <c r="IO575" s="64"/>
      <c r="IP575" s="64"/>
      <c r="IQ575" s="64"/>
      <c r="IR575" s="64"/>
      <c r="IS575" s="64"/>
      <c r="IT575" s="64"/>
      <c r="IU575" s="64"/>
      <c r="IV575" s="64"/>
      <c r="IW575" s="64"/>
      <c r="IX575" s="64"/>
      <c r="IY575" s="64"/>
      <c r="IZ575" s="64"/>
      <c r="JA575" s="64"/>
      <c r="JB575" s="64"/>
      <c r="JC575" s="64"/>
      <c r="JD575" s="64"/>
      <c r="JE575" s="64"/>
      <c r="JF575" s="64"/>
      <c r="JG575" s="64"/>
      <c r="JH575" s="64"/>
      <c r="JI575" s="64"/>
    </row>
    <row r="576" spans="1:269" s="920" customFormat="1" x14ac:dyDescent="0.2">
      <c r="A576" s="116"/>
      <c r="B576" s="64"/>
      <c r="C576" s="64"/>
      <c r="D576" s="64"/>
      <c r="E576" s="64"/>
      <c r="F576" s="64"/>
      <c r="G576" s="64"/>
      <c r="H576" s="64"/>
      <c r="I576" s="64"/>
      <c r="J576" s="116"/>
      <c r="K576" s="116"/>
      <c r="L576" s="116"/>
      <c r="M576" s="116"/>
      <c r="N576" s="116"/>
      <c r="O576" s="116"/>
      <c r="P576" s="116"/>
      <c r="Q576" s="102"/>
      <c r="R576" s="102"/>
      <c r="S576" s="102"/>
      <c r="T576" s="102"/>
      <c r="U576" s="913"/>
      <c r="V576" s="114"/>
      <c r="W576" s="805"/>
      <c r="X576" s="805"/>
      <c r="Y576" s="805"/>
      <c r="Z576" s="914"/>
      <c r="AA576" s="102"/>
      <c r="AB576" s="102"/>
      <c r="AC576" s="102"/>
      <c r="AD576" s="102"/>
      <c r="AE576" s="102"/>
      <c r="AF576" s="102"/>
      <c r="AG576" s="102"/>
      <c r="AH576" s="102"/>
      <c r="AI576" s="102"/>
      <c r="AJ576" s="906"/>
      <c r="AK576" s="102"/>
      <c r="AL576" s="915"/>
      <c r="AM576" s="915"/>
      <c r="AN576" s="114"/>
      <c r="AO576" s="64"/>
      <c r="AP576" s="64"/>
      <c r="AQ576" s="64"/>
      <c r="AR576" s="916"/>
      <c r="AS576" s="916"/>
      <c r="AT576" s="916"/>
      <c r="AU576" s="917"/>
      <c r="AV576" s="917"/>
      <c r="AW576" s="917"/>
      <c r="AX576" s="918"/>
      <c r="AY576" s="916"/>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917"/>
      <c r="CA576" s="917"/>
      <c r="CB576" s="64"/>
      <c r="CC576" s="919"/>
      <c r="CD576" s="919"/>
      <c r="CE576" s="64"/>
      <c r="CF576" s="528"/>
      <c r="CG576" s="529"/>
      <c r="CH576" s="64"/>
      <c r="CI576" s="64"/>
      <c r="CJ576" s="64"/>
      <c r="CK576" s="64"/>
      <c r="CL576" s="64"/>
      <c r="CM576" s="64"/>
      <c r="CN576" s="64"/>
      <c r="CO576" s="64"/>
      <c r="CP576" s="64"/>
      <c r="CQ576" s="64"/>
      <c r="CR576" s="64"/>
      <c r="CS576" s="64"/>
      <c r="CT576" s="64"/>
      <c r="CU576" s="64"/>
      <c r="CV576" s="64"/>
      <c r="CW576" s="64"/>
      <c r="CX576" s="64"/>
      <c r="CY576" s="1011"/>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c r="FC576" s="64"/>
      <c r="FD576" s="64"/>
      <c r="FE576" s="64"/>
      <c r="FF576" s="64"/>
      <c r="FG576" s="64"/>
      <c r="FH576" s="64"/>
      <c r="FI576" s="64"/>
      <c r="FJ576" s="64"/>
      <c r="FK576" s="64"/>
      <c r="FL576" s="64"/>
      <c r="FM576" s="64"/>
      <c r="FN576" s="64"/>
      <c r="FO576" s="64"/>
      <c r="FP576" s="64"/>
      <c r="FQ576" s="64"/>
      <c r="FR576" s="64"/>
      <c r="FS576" s="64"/>
      <c r="FT576" s="64"/>
      <c r="FU576" s="64"/>
      <c r="FV576" s="64"/>
      <c r="FW576" s="64"/>
      <c r="FX576" s="64"/>
      <c r="FY576" s="64"/>
      <c r="FZ576" s="64"/>
      <c r="GA576" s="64"/>
      <c r="GB576" s="64"/>
      <c r="GC576" s="64"/>
      <c r="GD576" s="64"/>
      <c r="GE576" s="64"/>
      <c r="GF576" s="64"/>
      <c r="GG576" s="64"/>
      <c r="GH576" s="64"/>
      <c r="GI576" s="64"/>
      <c r="GJ576" s="64"/>
      <c r="GK576" s="64"/>
      <c r="GL576" s="64"/>
      <c r="GM576" s="64"/>
      <c r="GN576" s="64"/>
      <c r="GO576" s="64"/>
      <c r="GP576" s="64"/>
      <c r="GQ576" s="64"/>
      <c r="GR576" s="64"/>
      <c r="GS576" s="64"/>
      <c r="GT576" s="64"/>
      <c r="GU576" s="64"/>
      <c r="GV576" s="64"/>
      <c r="GW576" s="64"/>
      <c r="GX576" s="64"/>
      <c r="GY576" s="64"/>
      <c r="GZ576" s="64"/>
      <c r="HA576" s="64"/>
      <c r="HB576" s="64"/>
      <c r="HC576" s="64"/>
      <c r="HD576" s="64"/>
      <c r="HE576" s="64"/>
      <c r="HF576" s="64"/>
      <c r="HG576" s="64"/>
      <c r="HH576" s="64"/>
      <c r="HI576" s="64"/>
      <c r="HJ576" s="64"/>
      <c r="HK576" s="64"/>
      <c r="HL576" s="64"/>
      <c r="HM576" s="64"/>
      <c r="HN576" s="64"/>
      <c r="HO576" s="64"/>
      <c r="HP576" s="64"/>
      <c r="HQ576" s="64"/>
      <c r="HR576" s="64"/>
      <c r="HS576" s="64"/>
      <c r="HT576" s="64"/>
      <c r="HU576" s="64"/>
      <c r="HV576" s="64"/>
      <c r="HW576" s="64"/>
      <c r="HX576" s="64"/>
      <c r="HY576" s="64"/>
      <c r="HZ576" s="64"/>
      <c r="IA576" s="64"/>
      <c r="IB576" s="64"/>
      <c r="IC576" s="64"/>
      <c r="ID576" s="64"/>
      <c r="IE576" s="64"/>
      <c r="IF576" s="64"/>
      <c r="IG576" s="64"/>
      <c r="IH576" s="64"/>
      <c r="II576" s="64"/>
      <c r="IJ576" s="64"/>
      <c r="IK576" s="64"/>
      <c r="IL576" s="64"/>
      <c r="IM576" s="64"/>
      <c r="IN576" s="64"/>
      <c r="IO576" s="64"/>
      <c r="IP576" s="64"/>
      <c r="IQ576" s="64"/>
      <c r="IR576" s="64"/>
      <c r="IS576" s="64"/>
      <c r="IT576" s="64"/>
      <c r="IU576" s="64"/>
      <c r="IV576" s="64"/>
      <c r="IW576" s="64"/>
      <c r="IX576" s="64"/>
      <c r="IY576" s="64"/>
      <c r="IZ576" s="64"/>
      <c r="JA576" s="64"/>
      <c r="JB576" s="64"/>
      <c r="JC576" s="64"/>
      <c r="JD576" s="64"/>
      <c r="JE576" s="64"/>
      <c r="JF576" s="64"/>
      <c r="JG576" s="64"/>
      <c r="JH576" s="64"/>
      <c r="JI576" s="64"/>
    </row>
    <row r="577" spans="1:269" s="920" customFormat="1" x14ac:dyDescent="0.2">
      <c r="A577" s="116"/>
      <c r="B577" s="64"/>
      <c r="C577" s="64"/>
      <c r="D577" s="64"/>
      <c r="E577" s="64"/>
      <c r="F577" s="64"/>
      <c r="G577" s="64"/>
      <c r="H577" s="64"/>
      <c r="I577" s="64"/>
      <c r="J577" s="116"/>
      <c r="K577" s="116"/>
      <c r="L577" s="116"/>
      <c r="M577" s="116"/>
      <c r="N577" s="116"/>
      <c r="O577" s="116"/>
      <c r="P577" s="116"/>
      <c r="Q577" s="102"/>
      <c r="R577" s="102"/>
      <c r="S577" s="102"/>
      <c r="T577" s="102"/>
      <c r="U577" s="913"/>
      <c r="V577" s="114"/>
      <c r="W577" s="805"/>
      <c r="X577" s="805"/>
      <c r="Y577" s="805"/>
      <c r="Z577" s="914"/>
      <c r="AA577" s="102"/>
      <c r="AB577" s="102"/>
      <c r="AC577" s="102"/>
      <c r="AD577" s="102"/>
      <c r="AE577" s="102"/>
      <c r="AF577" s="102"/>
      <c r="AG577" s="102"/>
      <c r="AH577" s="102"/>
      <c r="AI577" s="102"/>
      <c r="AJ577" s="906"/>
      <c r="AK577" s="102"/>
      <c r="AL577" s="915"/>
      <c r="AM577" s="915"/>
      <c r="AN577" s="114"/>
      <c r="AO577" s="64"/>
      <c r="AP577" s="64"/>
      <c r="AQ577" s="64"/>
      <c r="AR577" s="916"/>
      <c r="AS577" s="916"/>
      <c r="AT577" s="916"/>
      <c r="AU577" s="917"/>
      <c r="AV577" s="917"/>
      <c r="AW577" s="917"/>
      <c r="AX577" s="918"/>
      <c r="AY577" s="916"/>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917"/>
      <c r="CA577" s="917"/>
      <c r="CB577" s="64"/>
      <c r="CC577" s="919"/>
      <c r="CD577" s="919"/>
      <c r="CE577" s="64"/>
      <c r="CF577" s="528"/>
      <c r="CG577" s="529"/>
      <c r="CH577" s="64"/>
      <c r="CI577" s="64"/>
      <c r="CJ577" s="64"/>
      <c r="CK577" s="64"/>
      <c r="CL577" s="64"/>
      <c r="CM577" s="64"/>
      <c r="CN577" s="64"/>
      <c r="CO577" s="64"/>
      <c r="CP577" s="64"/>
      <c r="CQ577" s="64"/>
      <c r="CR577" s="64"/>
      <c r="CS577" s="64"/>
      <c r="CT577" s="64"/>
      <c r="CU577" s="64"/>
      <c r="CV577" s="64"/>
      <c r="CW577" s="64"/>
      <c r="CX577" s="64"/>
      <c r="CY577" s="1011"/>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c r="FC577" s="64"/>
      <c r="FD577" s="64"/>
      <c r="FE577" s="64"/>
      <c r="FF577" s="64"/>
      <c r="FG577" s="64"/>
      <c r="FH577" s="64"/>
      <c r="FI577" s="64"/>
      <c r="FJ577" s="64"/>
      <c r="FK577" s="64"/>
      <c r="FL577" s="64"/>
      <c r="FM577" s="64"/>
      <c r="FN577" s="64"/>
      <c r="FO577" s="64"/>
      <c r="FP577" s="64"/>
      <c r="FQ577" s="64"/>
      <c r="FR577" s="64"/>
      <c r="FS577" s="64"/>
      <c r="FT577" s="64"/>
      <c r="FU577" s="64"/>
      <c r="FV577" s="64"/>
      <c r="FW577" s="64"/>
      <c r="FX577" s="64"/>
      <c r="FY577" s="64"/>
      <c r="FZ577" s="64"/>
      <c r="GA577" s="64"/>
      <c r="GB577" s="64"/>
      <c r="GC577" s="64"/>
      <c r="GD577" s="64"/>
      <c r="GE577" s="64"/>
      <c r="GF577" s="64"/>
      <c r="GG577" s="64"/>
      <c r="GH577" s="64"/>
      <c r="GI577" s="64"/>
      <c r="GJ577" s="64"/>
      <c r="GK577" s="64"/>
      <c r="GL577" s="64"/>
      <c r="GM577" s="64"/>
      <c r="GN577" s="64"/>
      <c r="GO577" s="64"/>
      <c r="GP577" s="64"/>
      <c r="GQ577" s="64"/>
      <c r="GR577" s="64"/>
      <c r="GS577" s="64"/>
      <c r="GT577" s="64"/>
      <c r="GU577" s="64"/>
      <c r="GV577" s="64"/>
      <c r="GW577" s="64"/>
      <c r="GX577" s="64"/>
      <c r="GY577" s="64"/>
      <c r="GZ577" s="64"/>
      <c r="HA577" s="64"/>
      <c r="HB577" s="64"/>
      <c r="HC577" s="64"/>
      <c r="HD577" s="64"/>
      <c r="HE577" s="64"/>
      <c r="HF577" s="64"/>
      <c r="HG577" s="64"/>
      <c r="HH577" s="64"/>
      <c r="HI577" s="64"/>
      <c r="HJ577" s="64"/>
      <c r="HK577" s="64"/>
      <c r="HL577" s="64"/>
      <c r="HM577" s="64"/>
      <c r="HN577" s="64"/>
      <c r="HO577" s="64"/>
      <c r="HP577" s="64"/>
      <c r="HQ577" s="64"/>
      <c r="HR577" s="64"/>
      <c r="HS577" s="64"/>
      <c r="HT577" s="64"/>
      <c r="HU577" s="64"/>
      <c r="HV577" s="64"/>
      <c r="HW577" s="64"/>
      <c r="HX577" s="64"/>
      <c r="HY577" s="64"/>
      <c r="HZ577" s="64"/>
      <c r="IA577" s="64"/>
      <c r="IB577" s="64"/>
      <c r="IC577" s="64"/>
      <c r="ID577" s="64"/>
      <c r="IE577" s="64"/>
      <c r="IF577" s="64"/>
      <c r="IG577" s="64"/>
      <c r="IH577" s="64"/>
      <c r="II577" s="64"/>
      <c r="IJ577" s="64"/>
      <c r="IK577" s="64"/>
      <c r="IL577" s="64"/>
      <c r="IM577" s="64"/>
      <c r="IN577" s="64"/>
      <c r="IO577" s="64"/>
      <c r="IP577" s="64"/>
      <c r="IQ577" s="64"/>
      <c r="IR577" s="64"/>
      <c r="IS577" s="64"/>
      <c r="IT577" s="64"/>
      <c r="IU577" s="64"/>
      <c r="IV577" s="64"/>
      <c r="IW577" s="64"/>
      <c r="IX577" s="64"/>
      <c r="IY577" s="64"/>
      <c r="IZ577" s="64"/>
      <c r="JA577" s="64"/>
      <c r="JB577" s="64"/>
      <c r="JC577" s="64"/>
      <c r="JD577" s="64"/>
      <c r="JE577" s="64"/>
      <c r="JF577" s="64"/>
      <c r="JG577" s="64"/>
      <c r="JH577" s="64"/>
      <c r="JI577" s="64"/>
    </row>
    <row r="578" spans="1:269" s="920" customFormat="1" x14ac:dyDescent="0.2">
      <c r="A578" s="116"/>
      <c r="B578" s="64"/>
      <c r="C578" s="64"/>
      <c r="D578" s="64"/>
      <c r="E578" s="64"/>
      <c r="F578" s="64"/>
      <c r="G578" s="64"/>
      <c r="H578" s="64"/>
      <c r="I578" s="64"/>
      <c r="J578" s="116"/>
      <c r="K578" s="116"/>
      <c r="L578" s="116"/>
      <c r="M578" s="116"/>
      <c r="N578" s="116"/>
      <c r="O578" s="116"/>
      <c r="P578" s="116"/>
      <c r="Q578" s="102"/>
      <c r="R578" s="102"/>
      <c r="S578" s="102"/>
      <c r="T578" s="102"/>
      <c r="U578" s="913"/>
      <c r="V578" s="114"/>
      <c r="W578" s="805"/>
      <c r="X578" s="805"/>
      <c r="Y578" s="805"/>
      <c r="Z578" s="914"/>
      <c r="AA578" s="102"/>
      <c r="AB578" s="102"/>
      <c r="AC578" s="102"/>
      <c r="AD578" s="102"/>
      <c r="AE578" s="102"/>
      <c r="AF578" s="102"/>
      <c r="AG578" s="102"/>
      <c r="AH578" s="102"/>
      <c r="AI578" s="102"/>
      <c r="AJ578" s="906"/>
      <c r="AK578" s="102"/>
      <c r="AL578" s="915"/>
      <c r="AM578" s="915"/>
      <c r="AN578" s="114"/>
      <c r="AO578" s="64"/>
      <c r="AP578" s="64"/>
      <c r="AQ578" s="64"/>
      <c r="AR578" s="916"/>
      <c r="AS578" s="916"/>
      <c r="AT578" s="916"/>
      <c r="AU578" s="917"/>
      <c r="AV578" s="917"/>
      <c r="AW578" s="917"/>
      <c r="AX578" s="918"/>
      <c r="AY578" s="916"/>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917"/>
      <c r="CA578" s="917"/>
      <c r="CB578" s="64"/>
      <c r="CC578" s="919"/>
      <c r="CD578" s="919"/>
      <c r="CE578" s="64"/>
      <c r="CF578" s="528"/>
      <c r="CG578" s="529"/>
      <c r="CH578" s="64"/>
      <c r="CI578" s="64"/>
      <c r="CJ578" s="64"/>
      <c r="CK578" s="64"/>
      <c r="CL578" s="64"/>
      <c r="CM578" s="64"/>
      <c r="CN578" s="64"/>
      <c r="CO578" s="64"/>
      <c r="CP578" s="64"/>
      <c r="CQ578" s="64"/>
      <c r="CR578" s="64"/>
      <c r="CS578" s="64"/>
      <c r="CT578" s="64"/>
      <c r="CU578" s="64"/>
      <c r="CV578" s="64"/>
      <c r="CW578" s="64"/>
      <c r="CX578" s="64"/>
      <c r="CY578" s="1011"/>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c r="FC578" s="64"/>
      <c r="FD578" s="64"/>
      <c r="FE578" s="64"/>
      <c r="FF578" s="64"/>
      <c r="FG578" s="64"/>
      <c r="FH578" s="64"/>
      <c r="FI578" s="64"/>
      <c r="FJ578" s="64"/>
      <c r="FK578" s="64"/>
      <c r="FL578" s="64"/>
      <c r="FM578" s="64"/>
      <c r="FN578" s="64"/>
      <c r="FO578" s="64"/>
      <c r="FP578" s="64"/>
      <c r="FQ578" s="64"/>
      <c r="FR578" s="64"/>
      <c r="FS578" s="64"/>
      <c r="FT578" s="64"/>
      <c r="FU578" s="64"/>
      <c r="FV578" s="64"/>
      <c r="FW578" s="64"/>
      <c r="FX578" s="64"/>
      <c r="FY578" s="64"/>
      <c r="FZ578" s="64"/>
      <c r="GA578" s="64"/>
      <c r="GB578" s="64"/>
      <c r="GC578" s="64"/>
      <c r="GD578" s="64"/>
      <c r="GE578" s="64"/>
      <c r="GF578" s="64"/>
      <c r="GG578" s="64"/>
      <c r="GH578" s="64"/>
      <c r="GI578" s="64"/>
      <c r="GJ578" s="64"/>
      <c r="GK578" s="64"/>
      <c r="GL578" s="64"/>
      <c r="GM578" s="64"/>
      <c r="GN578" s="64"/>
      <c r="GO578" s="64"/>
      <c r="GP578" s="64"/>
      <c r="GQ578" s="64"/>
      <c r="GR578" s="64"/>
      <c r="GS578" s="64"/>
      <c r="GT578" s="64"/>
      <c r="GU578" s="64"/>
      <c r="GV578" s="64"/>
      <c r="GW578" s="64"/>
      <c r="GX578" s="64"/>
      <c r="GY578" s="64"/>
      <c r="GZ578" s="64"/>
      <c r="HA578" s="64"/>
      <c r="HB578" s="64"/>
      <c r="HC578" s="64"/>
      <c r="HD578" s="64"/>
      <c r="HE578" s="64"/>
      <c r="HF578" s="64"/>
      <c r="HG578" s="64"/>
      <c r="HH578" s="64"/>
      <c r="HI578" s="64"/>
      <c r="HJ578" s="64"/>
      <c r="HK578" s="64"/>
      <c r="HL578" s="64"/>
      <c r="HM578" s="64"/>
      <c r="HN578" s="64"/>
      <c r="HO578" s="64"/>
      <c r="HP578" s="64"/>
      <c r="HQ578" s="64"/>
      <c r="HR578" s="64"/>
      <c r="HS578" s="64"/>
      <c r="HT578" s="64"/>
      <c r="HU578" s="64"/>
      <c r="HV578" s="64"/>
      <c r="HW578" s="64"/>
      <c r="HX578" s="64"/>
      <c r="HY578" s="64"/>
      <c r="HZ578" s="64"/>
      <c r="IA578" s="64"/>
      <c r="IB578" s="64"/>
      <c r="IC578" s="64"/>
      <c r="ID578" s="64"/>
      <c r="IE578" s="64"/>
      <c r="IF578" s="64"/>
      <c r="IG578" s="64"/>
      <c r="IH578" s="64"/>
      <c r="II578" s="64"/>
      <c r="IJ578" s="64"/>
      <c r="IK578" s="64"/>
      <c r="IL578" s="64"/>
      <c r="IM578" s="64"/>
      <c r="IN578" s="64"/>
      <c r="IO578" s="64"/>
      <c r="IP578" s="64"/>
      <c r="IQ578" s="64"/>
      <c r="IR578" s="64"/>
      <c r="IS578" s="64"/>
      <c r="IT578" s="64"/>
      <c r="IU578" s="64"/>
      <c r="IV578" s="64"/>
      <c r="IW578" s="64"/>
      <c r="IX578" s="64"/>
      <c r="IY578" s="64"/>
      <c r="IZ578" s="64"/>
      <c r="JA578" s="64"/>
      <c r="JB578" s="64"/>
      <c r="JC578" s="64"/>
      <c r="JD578" s="64"/>
      <c r="JE578" s="64"/>
      <c r="JF578" s="64"/>
      <c r="JG578" s="64"/>
      <c r="JH578" s="64"/>
      <c r="JI578" s="64"/>
    </row>
    <row r="579" spans="1:269" s="920" customFormat="1" x14ac:dyDescent="0.2">
      <c r="A579" s="116"/>
      <c r="B579" s="64"/>
      <c r="C579" s="64"/>
      <c r="D579" s="64"/>
      <c r="E579" s="64"/>
      <c r="F579" s="64"/>
      <c r="G579" s="64"/>
      <c r="H579" s="64"/>
      <c r="I579" s="64"/>
      <c r="J579" s="116"/>
      <c r="K579" s="116"/>
      <c r="L579" s="116"/>
      <c r="M579" s="116"/>
      <c r="N579" s="116"/>
      <c r="O579" s="116"/>
      <c r="P579" s="116"/>
      <c r="Q579" s="102"/>
      <c r="R579" s="102"/>
      <c r="S579" s="102"/>
      <c r="T579" s="102"/>
      <c r="U579" s="913"/>
      <c r="V579" s="114"/>
      <c r="W579" s="805"/>
      <c r="X579" s="805"/>
      <c r="Y579" s="805"/>
      <c r="Z579" s="914"/>
      <c r="AA579" s="102"/>
      <c r="AB579" s="102"/>
      <c r="AC579" s="102"/>
      <c r="AD579" s="102"/>
      <c r="AE579" s="102"/>
      <c r="AF579" s="102"/>
      <c r="AG579" s="102"/>
      <c r="AH579" s="102"/>
      <c r="AI579" s="102"/>
      <c r="AJ579" s="906"/>
      <c r="AK579" s="102"/>
      <c r="AL579" s="915"/>
      <c r="AM579" s="915"/>
      <c r="AN579" s="114"/>
      <c r="AO579" s="64"/>
      <c r="AP579" s="64"/>
      <c r="AQ579" s="64"/>
      <c r="AR579" s="916"/>
      <c r="AS579" s="916"/>
      <c r="AT579" s="916"/>
      <c r="AU579" s="917"/>
      <c r="AV579" s="917"/>
      <c r="AW579" s="917"/>
      <c r="AX579" s="918"/>
      <c r="AY579" s="916"/>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917"/>
      <c r="CA579" s="917"/>
      <c r="CB579" s="64"/>
      <c r="CC579" s="919"/>
      <c r="CD579" s="919"/>
      <c r="CE579" s="64"/>
      <c r="CF579" s="528"/>
      <c r="CG579" s="529"/>
      <c r="CH579" s="64"/>
      <c r="CI579" s="64"/>
      <c r="CJ579" s="64"/>
      <c r="CK579" s="64"/>
      <c r="CL579" s="64"/>
      <c r="CM579" s="64"/>
      <c r="CN579" s="64"/>
      <c r="CO579" s="64"/>
      <c r="CP579" s="64"/>
      <c r="CQ579" s="64"/>
      <c r="CR579" s="64"/>
      <c r="CS579" s="64"/>
      <c r="CT579" s="64"/>
      <c r="CU579" s="64"/>
      <c r="CV579" s="64"/>
      <c r="CW579" s="64"/>
      <c r="CX579" s="64"/>
      <c r="CY579" s="1011"/>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c r="FC579" s="64"/>
      <c r="FD579" s="64"/>
      <c r="FE579" s="64"/>
      <c r="FF579" s="64"/>
      <c r="FG579" s="64"/>
      <c r="FH579" s="64"/>
      <c r="FI579" s="64"/>
      <c r="FJ579" s="64"/>
      <c r="FK579" s="64"/>
      <c r="FL579" s="64"/>
      <c r="FM579" s="64"/>
      <c r="FN579" s="64"/>
      <c r="FO579" s="64"/>
      <c r="FP579" s="64"/>
      <c r="FQ579" s="64"/>
      <c r="FR579" s="64"/>
      <c r="FS579" s="64"/>
      <c r="FT579" s="64"/>
      <c r="FU579" s="64"/>
      <c r="FV579" s="64"/>
      <c r="FW579" s="64"/>
      <c r="FX579" s="64"/>
      <c r="FY579" s="64"/>
      <c r="FZ579" s="64"/>
      <c r="GA579" s="64"/>
      <c r="GB579" s="64"/>
      <c r="GC579" s="64"/>
      <c r="GD579" s="64"/>
      <c r="GE579" s="64"/>
      <c r="GF579" s="64"/>
      <c r="GG579" s="64"/>
      <c r="GH579" s="64"/>
      <c r="GI579" s="64"/>
      <c r="GJ579" s="64"/>
      <c r="GK579" s="64"/>
      <c r="GL579" s="64"/>
      <c r="GM579" s="64"/>
      <c r="GN579" s="64"/>
      <c r="GO579" s="64"/>
      <c r="GP579" s="64"/>
      <c r="GQ579" s="64"/>
      <c r="GR579" s="64"/>
      <c r="GS579" s="64"/>
      <c r="GT579" s="64"/>
      <c r="GU579" s="64"/>
      <c r="GV579" s="64"/>
      <c r="GW579" s="64"/>
      <c r="GX579" s="64"/>
      <c r="GY579" s="64"/>
      <c r="GZ579" s="64"/>
      <c r="HA579" s="64"/>
      <c r="HB579" s="64"/>
      <c r="HC579" s="64"/>
      <c r="HD579" s="64"/>
      <c r="HE579" s="64"/>
      <c r="HF579" s="64"/>
      <c r="HG579" s="64"/>
      <c r="HH579" s="64"/>
      <c r="HI579" s="64"/>
      <c r="HJ579" s="64"/>
      <c r="HK579" s="64"/>
      <c r="HL579" s="64"/>
      <c r="HM579" s="64"/>
      <c r="HN579" s="64"/>
      <c r="HO579" s="64"/>
      <c r="HP579" s="64"/>
      <c r="HQ579" s="64"/>
      <c r="HR579" s="64"/>
      <c r="HS579" s="64"/>
      <c r="HT579" s="64"/>
      <c r="HU579" s="64"/>
      <c r="HV579" s="64"/>
      <c r="HW579" s="64"/>
      <c r="HX579" s="64"/>
      <c r="HY579" s="64"/>
      <c r="HZ579" s="64"/>
      <c r="IA579" s="64"/>
      <c r="IB579" s="64"/>
      <c r="IC579" s="64"/>
      <c r="ID579" s="64"/>
      <c r="IE579" s="64"/>
      <c r="IF579" s="64"/>
      <c r="IG579" s="64"/>
      <c r="IH579" s="64"/>
      <c r="II579" s="64"/>
      <c r="IJ579" s="64"/>
      <c r="IK579" s="64"/>
      <c r="IL579" s="64"/>
      <c r="IM579" s="64"/>
      <c r="IN579" s="64"/>
      <c r="IO579" s="64"/>
      <c r="IP579" s="64"/>
      <c r="IQ579" s="64"/>
      <c r="IR579" s="64"/>
      <c r="IS579" s="64"/>
      <c r="IT579" s="64"/>
      <c r="IU579" s="64"/>
      <c r="IV579" s="64"/>
      <c r="IW579" s="64"/>
      <c r="IX579" s="64"/>
      <c r="IY579" s="64"/>
      <c r="IZ579" s="64"/>
      <c r="JA579" s="64"/>
      <c r="JB579" s="64"/>
      <c r="JC579" s="64"/>
      <c r="JD579" s="64"/>
      <c r="JE579" s="64"/>
      <c r="JF579" s="64"/>
      <c r="JG579" s="64"/>
      <c r="JH579" s="64"/>
      <c r="JI579" s="64"/>
    </row>
    <row r="580" spans="1:269" s="920" customFormat="1" x14ac:dyDescent="0.2">
      <c r="A580" s="116"/>
      <c r="B580" s="64"/>
      <c r="C580" s="64"/>
      <c r="D580" s="64"/>
      <c r="E580" s="64"/>
      <c r="F580" s="64"/>
      <c r="G580" s="64"/>
      <c r="H580" s="64"/>
      <c r="I580" s="64"/>
      <c r="J580" s="116"/>
      <c r="K580" s="116"/>
      <c r="L580" s="116"/>
      <c r="M580" s="116"/>
      <c r="N580" s="116"/>
      <c r="O580" s="116"/>
      <c r="P580" s="116"/>
      <c r="Q580" s="102"/>
      <c r="R580" s="102"/>
      <c r="S580" s="102"/>
      <c r="T580" s="102"/>
      <c r="U580" s="913"/>
      <c r="V580" s="114"/>
      <c r="W580" s="805"/>
      <c r="X580" s="805"/>
      <c r="Y580" s="805"/>
      <c r="Z580" s="914"/>
      <c r="AA580" s="102"/>
      <c r="AB580" s="102"/>
      <c r="AC580" s="102"/>
      <c r="AD580" s="102"/>
      <c r="AE580" s="102"/>
      <c r="AF580" s="102"/>
      <c r="AG580" s="102"/>
      <c r="AH580" s="102"/>
      <c r="AI580" s="102"/>
      <c r="AJ580" s="906"/>
      <c r="AK580" s="102"/>
      <c r="AL580" s="915"/>
      <c r="AM580" s="915"/>
      <c r="AN580" s="114"/>
      <c r="AO580" s="64"/>
      <c r="AP580" s="64"/>
      <c r="AQ580" s="64"/>
      <c r="AR580" s="916"/>
      <c r="AS580" s="916"/>
      <c r="AT580" s="916"/>
      <c r="AU580" s="917"/>
      <c r="AV580" s="917"/>
      <c r="AW580" s="917"/>
      <c r="AX580" s="918"/>
      <c r="AY580" s="916"/>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917"/>
      <c r="CA580" s="917"/>
      <c r="CB580" s="64"/>
      <c r="CC580" s="919"/>
      <c r="CD580" s="919"/>
      <c r="CE580" s="64"/>
      <c r="CF580" s="528"/>
      <c r="CG580" s="529"/>
      <c r="CH580" s="64"/>
      <c r="CI580" s="64"/>
      <c r="CJ580" s="64"/>
      <c r="CK580" s="64"/>
      <c r="CL580" s="64"/>
      <c r="CM580" s="64"/>
      <c r="CN580" s="64"/>
      <c r="CO580" s="64"/>
      <c r="CP580" s="64"/>
      <c r="CQ580" s="64"/>
      <c r="CR580" s="64"/>
      <c r="CS580" s="64"/>
      <c r="CT580" s="64"/>
      <c r="CU580" s="64"/>
      <c r="CV580" s="64"/>
      <c r="CW580" s="64"/>
      <c r="CX580" s="64"/>
      <c r="CY580" s="1011"/>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c r="FC580" s="64"/>
      <c r="FD580" s="64"/>
      <c r="FE580" s="64"/>
      <c r="FF580" s="64"/>
      <c r="FG580" s="64"/>
      <c r="FH580" s="64"/>
      <c r="FI580" s="64"/>
      <c r="FJ580" s="64"/>
      <c r="FK580" s="64"/>
      <c r="FL580" s="64"/>
      <c r="FM580" s="64"/>
      <c r="FN580" s="64"/>
      <c r="FO580" s="64"/>
      <c r="FP580" s="64"/>
      <c r="FQ580" s="64"/>
      <c r="FR580" s="64"/>
      <c r="FS580" s="64"/>
      <c r="FT580" s="64"/>
      <c r="FU580" s="64"/>
      <c r="FV580" s="64"/>
      <c r="FW580" s="64"/>
      <c r="FX580" s="64"/>
      <c r="FY580" s="64"/>
      <c r="FZ580" s="64"/>
      <c r="GA580" s="64"/>
      <c r="GB580" s="64"/>
      <c r="GC580" s="64"/>
      <c r="GD580" s="64"/>
      <c r="GE580" s="64"/>
      <c r="GF580" s="64"/>
      <c r="GG580" s="64"/>
      <c r="GH580" s="64"/>
      <c r="GI580" s="64"/>
      <c r="GJ580" s="64"/>
      <c r="GK580" s="64"/>
      <c r="GL580" s="64"/>
      <c r="GM580" s="64"/>
      <c r="GN580" s="64"/>
      <c r="GO580" s="64"/>
      <c r="GP580" s="64"/>
      <c r="GQ580" s="64"/>
      <c r="GR580" s="64"/>
      <c r="GS580" s="64"/>
      <c r="GT580" s="64"/>
      <c r="GU580" s="64"/>
      <c r="GV580" s="64"/>
      <c r="GW580" s="64"/>
      <c r="GX580" s="64"/>
      <c r="GY580" s="64"/>
      <c r="GZ580" s="64"/>
      <c r="HA580" s="64"/>
      <c r="HB580" s="64"/>
      <c r="HC580" s="64"/>
      <c r="HD580" s="64"/>
      <c r="HE580" s="64"/>
      <c r="HF580" s="64"/>
      <c r="HG580" s="64"/>
      <c r="HH580" s="64"/>
      <c r="HI580" s="64"/>
      <c r="HJ580" s="64"/>
      <c r="HK580" s="64"/>
      <c r="HL580" s="64"/>
      <c r="HM580" s="64"/>
      <c r="HN580" s="64"/>
      <c r="HO580" s="64"/>
      <c r="HP580" s="64"/>
      <c r="HQ580" s="64"/>
      <c r="HR580" s="64"/>
      <c r="HS580" s="64"/>
      <c r="HT580" s="64"/>
      <c r="HU580" s="64"/>
      <c r="HV580" s="64"/>
      <c r="HW580" s="64"/>
      <c r="HX580" s="64"/>
      <c r="HY580" s="64"/>
      <c r="HZ580" s="64"/>
      <c r="IA580" s="64"/>
      <c r="IB580" s="64"/>
      <c r="IC580" s="64"/>
      <c r="ID580" s="64"/>
      <c r="IE580" s="64"/>
      <c r="IF580" s="64"/>
      <c r="IG580" s="64"/>
      <c r="IH580" s="64"/>
      <c r="II580" s="64"/>
      <c r="IJ580" s="64"/>
      <c r="IK580" s="64"/>
      <c r="IL580" s="64"/>
      <c r="IM580" s="64"/>
      <c r="IN580" s="64"/>
      <c r="IO580" s="64"/>
      <c r="IP580" s="64"/>
      <c r="IQ580" s="64"/>
      <c r="IR580" s="64"/>
      <c r="IS580" s="64"/>
      <c r="IT580" s="64"/>
      <c r="IU580" s="64"/>
      <c r="IV580" s="64"/>
      <c r="IW580" s="64"/>
      <c r="IX580" s="64"/>
      <c r="IY580" s="64"/>
      <c r="IZ580" s="64"/>
      <c r="JA580" s="64"/>
      <c r="JB580" s="64"/>
      <c r="JC580" s="64"/>
      <c r="JD580" s="64"/>
      <c r="JE580" s="64"/>
      <c r="JF580" s="64"/>
      <c r="JG580" s="64"/>
      <c r="JH580" s="64"/>
      <c r="JI580" s="64"/>
    </row>
    <row r="581" spans="1:269" s="920" customFormat="1" x14ac:dyDescent="0.2">
      <c r="A581" s="116"/>
      <c r="B581" s="64"/>
      <c r="C581" s="64"/>
      <c r="D581" s="64"/>
      <c r="E581" s="64"/>
      <c r="F581" s="64"/>
      <c r="G581" s="64"/>
      <c r="H581" s="64"/>
      <c r="I581" s="64"/>
      <c r="J581" s="116"/>
      <c r="K581" s="116"/>
      <c r="L581" s="116"/>
      <c r="M581" s="116"/>
      <c r="N581" s="116"/>
      <c r="O581" s="116"/>
      <c r="P581" s="116"/>
      <c r="Q581" s="102"/>
      <c r="R581" s="102"/>
      <c r="S581" s="102"/>
      <c r="T581" s="102"/>
      <c r="U581" s="913"/>
      <c r="V581" s="114"/>
      <c r="W581" s="805"/>
      <c r="X581" s="805"/>
      <c r="Y581" s="805"/>
      <c r="Z581" s="914"/>
      <c r="AA581" s="102"/>
      <c r="AB581" s="102"/>
      <c r="AC581" s="102"/>
      <c r="AD581" s="102"/>
      <c r="AE581" s="102"/>
      <c r="AF581" s="102"/>
      <c r="AG581" s="102"/>
      <c r="AH581" s="102"/>
      <c r="AI581" s="102"/>
      <c r="AJ581" s="906"/>
      <c r="AK581" s="102"/>
      <c r="AL581" s="915"/>
      <c r="AM581" s="915"/>
      <c r="AN581" s="114"/>
      <c r="AO581" s="64"/>
      <c r="AP581" s="64"/>
      <c r="AQ581" s="64"/>
      <c r="AR581" s="916"/>
      <c r="AS581" s="916"/>
      <c r="AT581" s="916"/>
      <c r="AU581" s="917"/>
      <c r="AV581" s="917"/>
      <c r="AW581" s="917"/>
      <c r="AX581" s="918"/>
      <c r="AY581" s="916"/>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917"/>
      <c r="CA581" s="917"/>
      <c r="CB581" s="64"/>
      <c r="CC581" s="919"/>
      <c r="CD581" s="919"/>
      <c r="CE581" s="64"/>
      <c r="CF581" s="528"/>
      <c r="CG581" s="529"/>
      <c r="CH581" s="64"/>
      <c r="CI581" s="64"/>
      <c r="CJ581" s="64"/>
      <c r="CK581" s="64"/>
      <c r="CL581" s="64"/>
      <c r="CM581" s="64"/>
      <c r="CN581" s="64"/>
      <c r="CO581" s="64"/>
      <c r="CP581" s="64"/>
      <c r="CQ581" s="64"/>
      <c r="CR581" s="64"/>
      <c r="CS581" s="64"/>
      <c r="CT581" s="64"/>
      <c r="CU581" s="64"/>
      <c r="CV581" s="64"/>
      <c r="CW581" s="64"/>
      <c r="CX581" s="64"/>
      <c r="CY581" s="1011"/>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c r="FC581" s="64"/>
      <c r="FD581" s="64"/>
      <c r="FE581" s="64"/>
      <c r="FF581" s="64"/>
      <c r="FG581" s="64"/>
      <c r="FH581" s="64"/>
      <c r="FI581" s="64"/>
      <c r="FJ581" s="64"/>
      <c r="FK581" s="64"/>
      <c r="FL581" s="64"/>
      <c r="FM581" s="64"/>
      <c r="FN581" s="64"/>
      <c r="FO581" s="64"/>
      <c r="FP581" s="64"/>
      <c r="FQ581" s="64"/>
      <c r="FR581" s="64"/>
      <c r="FS581" s="64"/>
      <c r="FT581" s="64"/>
      <c r="FU581" s="64"/>
      <c r="FV581" s="64"/>
      <c r="FW581" s="64"/>
      <c r="FX581" s="64"/>
      <c r="FY581" s="64"/>
      <c r="FZ581" s="64"/>
      <c r="GA581" s="64"/>
      <c r="GB581" s="64"/>
      <c r="GC581" s="64"/>
      <c r="GD581" s="64"/>
      <c r="GE581" s="64"/>
      <c r="GF581" s="64"/>
      <c r="GG581" s="64"/>
      <c r="GH581" s="64"/>
      <c r="GI581" s="64"/>
      <c r="GJ581" s="64"/>
      <c r="GK581" s="64"/>
      <c r="GL581" s="64"/>
      <c r="GM581" s="64"/>
      <c r="GN581" s="64"/>
      <c r="GO581" s="64"/>
      <c r="GP581" s="64"/>
      <c r="GQ581" s="64"/>
      <c r="GR581" s="64"/>
      <c r="GS581" s="64"/>
      <c r="GT581" s="64"/>
      <c r="GU581" s="64"/>
      <c r="GV581" s="64"/>
      <c r="GW581" s="64"/>
      <c r="GX581" s="64"/>
      <c r="GY581" s="64"/>
      <c r="GZ581" s="64"/>
      <c r="HA581" s="64"/>
      <c r="HB581" s="64"/>
      <c r="HC581" s="64"/>
      <c r="HD581" s="64"/>
      <c r="HE581" s="64"/>
      <c r="HF581" s="64"/>
      <c r="HG581" s="64"/>
      <c r="HH581" s="64"/>
      <c r="HI581" s="64"/>
      <c r="HJ581" s="64"/>
      <c r="HK581" s="64"/>
      <c r="HL581" s="64"/>
      <c r="HM581" s="64"/>
      <c r="HN581" s="64"/>
      <c r="HO581" s="64"/>
      <c r="HP581" s="64"/>
      <c r="HQ581" s="64"/>
      <c r="HR581" s="64"/>
      <c r="HS581" s="64"/>
      <c r="HT581" s="64"/>
      <c r="HU581" s="64"/>
      <c r="HV581" s="64"/>
      <c r="HW581" s="64"/>
      <c r="HX581" s="64"/>
      <c r="HY581" s="64"/>
      <c r="HZ581" s="64"/>
      <c r="IA581" s="64"/>
      <c r="IB581" s="64"/>
      <c r="IC581" s="64"/>
      <c r="ID581" s="64"/>
      <c r="IE581" s="64"/>
      <c r="IF581" s="64"/>
      <c r="IG581" s="64"/>
      <c r="IH581" s="64"/>
      <c r="II581" s="64"/>
      <c r="IJ581" s="64"/>
      <c r="IK581" s="64"/>
      <c r="IL581" s="64"/>
      <c r="IM581" s="64"/>
      <c r="IN581" s="64"/>
      <c r="IO581" s="64"/>
      <c r="IP581" s="64"/>
      <c r="IQ581" s="64"/>
      <c r="IR581" s="64"/>
      <c r="IS581" s="64"/>
      <c r="IT581" s="64"/>
      <c r="IU581" s="64"/>
      <c r="IV581" s="64"/>
      <c r="IW581" s="64"/>
      <c r="IX581" s="64"/>
      <c r="IY581" s="64"/>
      <c r="IZ581" s="64"/>
      <c r="JA581" s="64"/>
      <c r="JB581" s="64"/>
      <c r="JC581" s="64"/>
      <c r="JD581" s="64"/>
      <c r="JE581" s="64"/>
      <c r="JF581" s="64"/>
      <c r="JG581" s="64"/>
      <c r="JH581" s="64"/>
      <c r="JI581" s="64"/>
    </row>
    <row r="582" spans="1:269" s="920" customFormat="1" x14ac:dyDescent="0.2">
      <c r="A582" s="116"/>
      <c r="B582" s="64"/>
      <c r="C582" s="64"/>
      <c r="D582" s="64"/>
      <c r="E582" s="64"/>
      <c r="F582" s="64"/>
      <c r="G582" s="64"/>
      <c r="H582" s="64"/>
      <c r="I582" s="64"/>
      <c r="J582" s="116"/>
      <c r="K582" s="116"/>
      <c r="L582" s="116"/>
      <c r="M582" s="116"/>
      <c r="N582" s="116"/>
      <c r="O582" s="116"/>
      <c r="P582" s="116"/>
      <c r="Q582" s="102"/>
      <c r="R582" s="102"/>
      <c r="S582" s="102"/>
      <c r="T582" s="102"/>
      <c r="U582" s="913"/>
      <c r="V582" s="114"/>
      <c r="W582" s="805"/>
      <c r="X582" s="805"/>
      <c r="Y582" s="805"/>
      <c r="Z582" s="914"/>
      <c r="AA582" s="102"/>
      <c r="AB582" s="102"/>
      <c r="AC582" s="102"/>
      <c r="AD582" s="102"/>
      <c r="AE582" s="102"/>
      <c r="AF582" s="102"/>
      <c r="AG582" s="102"/>
      <c r="AH582" s="102"/>
      <c r="AI582" s="102"/>
      <c r="AJ582" s="906"/>
      <c r="AK582" s="102"/>
      <c r="AL582" s="915"/>
      <c r="AM582" s="915"/>
      <c r="AN582" s="114"/>
      <c r="AO582" s="64"/>
      <c r="AP582" s="64"/>
      <c r="AQ582" s="64"/>
      <c r="AR582" s="916"/>
      <c r="AS582" s="916"/>
      <c r="AT582" s="916"/>
      <c r="AU582" s="917"/>
      <c r="AV582" s="917"/>
      <c r="AW582" s="917"/>
      <c r="AX582" s="918"/>
      <c r="AY582" s="916"/>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917"/>
      <c r="CA582" s="917"/>
      <c r="CB582" s="64"/>
      <c r="CC582" s="919"/>
      <c r="CD582" s="919"/>
      <c r="CE582" s="64"/>
      <c r="CF582" s="528"/>
      <c r="CG582" s="529"/>
      <c r="CH582" s="64"/>
      <c r="CI582" s="64"/>
      <c r="CJ582" s="64"/>
      <c r="CK582" s="64"/>
      <c r="CL582" s="64"/>
      <c r="CM582" s="64"/>
      <c r="CN582" s="64"/>
      <c r="CO582" s="64"/>
      <c r="CP582" s="64"/>
      <c r="CQ582" s="64"/>
      <c r="CR582" s="64"/>
      <c r="CS582" s="64"/>
      <c r="CT582" s="64"/>
      <c r="CU582" s="64"/>
      <c r="CV582" s="64"/>
      <c r="CW582" s="64"/>
      <c r="CX582" s="64"/>
      <c r="CY582" s="1011"/>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c r="FC582" s="64"/>
      <c r="FD582" s="64"/>
      <c r="FE582" s="64"/>
      <c r="FF582" s="64"/>
      <c r="FG582" s="64"/>
      <c r="FH582" s="64"/>
      <c r="FI582" s="64"/>
      <c r="FJ582" s="64"/>
      <c r="FK582" s="64"/>
      <c r="FL582" s="64"/>
      <c r="FM582" s="64"/>
      <c r="FN582" s="64"/>
      <c r="FO582" s="64"/>
      <c r="FP582" s="64"/>
      <c r="FQ582" s="64"/>
      <c r="FR582" s="64"/>
      <c r="FS582" s="64"/>
      <c r="FT582" s="64"/>
      <c r="FU582" s="64"/>
      <c r="FV582" s="64"/>
      <c r="FW582" s="64"/>
      <c r="FX582" s="64"/>
      <c r="FY582" s="64"/>
      <c r="FZ582" s="64"/>
      <c r="GA582" s="64"/>
      <c r="GB582" s="64"/>
      <c r="GC582" s="64"/>
      <c r="GD582" s="64"/>
      <c r="GE582" s="64"/>
      <c r="GF582" s="64"/>
      <c r="GG582" s="64"/>
      <c r="GH582" s="64"/>
      <c r="GI582" s="64"/>
      <c r="GJ582" s="64"/>
      <c r="GK582" s="64"/>
      <c r="GL582" s="64"/>
      <c r="GM582" s="64"/>
      <c r="GN582" s="64"/>
      <c r="GO582" s="64"/>
      <c r="GP582" s="64"/>
      <c r="GQ582" s="64"/>
      <c r="GR582" s="64"/>
      <c r="GS582" s="64"/>
      <c r="GT582" s="64"/>
      <c r="GU582" s="64"/>
      <c r="GV582" s="64"/>
      <c r="GW582" s="64"/>
      <c r="GX582" s="64"/>
      <c r="GY582" s="64"/>
      <c r="GZ582" s="64"/>
      <c r="HA582" s="64"/>
      <c r="HB582" s="64"/>
      <c r="HC582" s="64"/>
      <c r="HD582" s="64"/>
      <c r="HE582" s="64"/>
      <c r="HF582" s="64"/>
      <c r="HG582" s="64"/>
      <c r="HH582" s="64"/>
      <c r="HI582" s="64"/>
      <c r="HJ582" s="64"/>
      <c r="HK582" s="64"/>
      <c r="HL582" s="64"/>
      <c r="HM582" s="64"/>
      <c r="HN582" s="64"/>
      <c r="HO582" s="64"/>
      <c r="HP582" s="64"/>
      <c r="HQ582" s="64"/>
      <c r="HR582" s="64"/>
      <c r="HS582" s="64"/>
      <c r="HT582" s="64"/>
      <c r="HU582" s="64"/>
      <c r="HV582" s="64"/>
      <c r="HW582" s="64"/>
      <c r="HX582" s="64"/>
      <c r="HY582" s="64"/>
      <c r="HZ582" s="64"/>
      <c r="IA582" s="64"/>
      <c r="IB582" s="64"/>
      <c r="IC582" s="64"/>
      <c r="ID582" s="64"/>
      <c r="IE582" s="64"/>
      <c r="IF582" s="64"/>
      <c r="IG582" s="64"/>
      <c r="IH582" s="64"/>
      <c r="II582" s="64"/>
      <c r="IJ582" s="64"/>
      <c r="IK582" s="64"/>
      <c r="IL582" s="64"/>
      <c r="IM582" s="64"/>
      <c r="IN582" s="64"/>
      <c r="IO582" s="64"/>
      <c r="IP582" s="64"/>
      <c r="IQ582" s="64"/>
      <c r="IR582" s="64"/>
      <c r="IS582" s="64"/>
      <c r="IT582" s="64"/>
      <c r="IU582" s="64"/>
      <c r="IV582" s="64"/>
      <c r="IW582" s="64"/>
      <c r="IX582" s="64"/>
      <c r="IY582" s="64"/>
      <c r="IZ582" s="64"/>
      <c r="JA582" s="64"/>
      <c r="JB582" s="64"/>
      <c r="JC582" s="64"/>
      <c r="JD582" s="64"/>
      <c r="JE582" s="64"/>
      <c r="JF582" s="64"/>
      <c r="JG582" s="64"/>
      <c r="JH582" s="64"/>
      <c r="JI582" s="64"/>
    </row>
    <row r="583" spans="1:269" s="920" customFormat="1" x14ac:dyDescent="0.2">
      <c r="A583" s="116"/>
      <c r="B583" s="64"/>
      <c r="C583" s="64"/>
      <c r="D583" s="64"/>
      <c r="E583" s="64"/>
      <c r="F583" s="64"/>
      <c r="G583" s="64"/>
      <c r="H583" s="64"/>
      <c r="I583" s="64"/>
      <c r="J583" s="116"/>
      <c r="K583" s="116"/>
      <c r="L583" s="116"/>
      <c r="M583" s="116"/>
      <c r="N583" s="116"/>
      <c r="O583" s="116"/>
      <c r="P583" s="116"/>
      <c r="Q583" s="102"/>
      <c r="R583" s="102"/>
      <c r="S583" s="102"/>
      <c r="T583" s="102"/>
      <c r="U583" s="913"/>
      <c r="V583" s="114"/>
      <c r="W583" s="805"/>
      <c r="X583" s="805"/>
      <c r="Y583" s="805"/>
      <c r="Z583" s="914"/>
      <c r="AA583" s="102"/>
      <c r="AB583" s="102"/>
      <c r="AC583" s="102"/>
      <c r="AD583" s="102"/>
      <c r="AE583" s="102"/>
      <c r="AF583" s="102"/>
      <c r="AG583" s="102"/>
      <c r="AH583" s="102"/>
      <c r="AI583" s="102"/>
      <c r="AJ583" s="906"/>
      <c r="AK583" s="102"/>
      <c r="AL583" s="915"/>
      <c r="AM583" s="915"/>
      <c r="AN583" s="114"/>
      <c r="AO583" s="64"/>
      <c r="AP583" s="64"/>
      <c r="AQ583" s="64"/>
      <c r="AR583" s="916"/>
      <c r="AS583" s="916"/>
      <c r="AT583" s="916"/>
      <c r="AU583" s="917"/>
      <c r="AV583" s="917"/>
      <c r="AW583" s="917"/>
      <c r="AX583" s="918"/>
      <c r="AY583" s="916"/>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917"/>
      <c r="CA583" s="917"/>
      <c r="CB583" s="64"/>
      <c r="CC583" s="919"/>
      <c r="CD583" s="919"/>
      <c r="CE583" s="64"/>
      <c r="CF583" s="528"/>
      <c r="CG583" s="529"/>
      <c r="CH583" s="64"/>
      <c r="CI583" s="64"/>
      <c r="CJ583" s="64"/>
      <c r="CK583" s="64"/>
      <c r="CL583" s="64"/>
      <c r="CM583" s="64"/>
      <c r="CN583" s="64"/>
      <c r="CO583" s="64"/>
      <c r="CP583" s="64"/>
      <c r="CQ583" s="64"/>
      <c r="CR583" s="64"/>
      <c r="CS583" s="64"/>
      <c r="CT583" s="64"/>
      <c r="CU583" s="64"/>
      <c r="CV583" s="64"/>
      <c r="CW583" s="64"/>
      <c r="CX583" s="64"/>
      <c r="CY583" s="1011"/>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c r="FC583" s="64"/>
      <c r="FD583" s="64"/>
      <c r="FE583" s="64"/>
      <c r="FF583" s="64"/>
      <c r="FG583" s="64"/>
      <c r="FH583" s="64"/>
      <c r="FI583" s="64"/>
      <c r="FJ583" s="64"/>
      <c r="FK583" s="64"/>
      <c r="FL583" s="64"/>
      <c r="FM583" s="64"/>
      <c r="FN583" s="64"/>
      <c r="FO583" s="64"/>
      <c r="FP583" s="64"/>
      <c r="FQ583" s="64"/>
      <c r="FR583" s="64"/>
      <c r="FS583" s="64"/>
      <c r="FT583" s="64"/>
      <c r="FU583" s="64"/>
      <c r="FV583" s="64"/>
      <c r="FW583" s="64"/>
      <c r="FX583" s="64"/>
      <c r="FY583" s="64"/>
      <c r="FZ583" s="64"/>
      <c r="GA583" s="64"/>
      <c r="GB583" s="64"/>
      <c r="GC583" s="64"/>
      <c r="GD583" s="64"/>
      <c r="GE583" s="64"/>
      <c r="GF583" s="64"/>
      <c r="GG583" s="64"/>
      <c r="GH583" s="64"/>
      <c r="GI583" s="64"/>
      <c r="GJ583" s="64"/>
      <c r="GK583" s="64"/>
      <c r="GL583" s="64"/>
      <c r="GM583" s="64"/>
      <c r="GN583" s="64"/>
      <c r="GO583" s="64"/>
      <c r="GP583" s="64"/>
      <c r="GQ583" s="64"/>
      <c r="GR583" s="64"/>
      <c r="GS583" s="64"/>
      <c r="GT583" s="64"/>
      <c r="GU583" s="64"/>
      <c r="GV583" s="64"/>
      <c r="GW583" s="64"/>
      <c r="GX583" s="64"/>
      <c r="GY583" s="64"/>
      <c r="GZ583" s="64"/>
      <c r="HA583" s="64"/>
      <c r="HB583" s="64"/>
      <c r="HC583" s="64"/>
      <c r="HD583" s="64"/>
      <c r="HE583" s="64"/>
      <c r="HF583" s="64"/>
      <c r="HG583" s="64"/>
      <c r="HH583" s="64"/>
      <c r="HI583" s="64"/>
      <c r="HJ583" s="64"/>
      <c r="HK583" s="64"/>
      <c r="HL583" s="64"/>
      <c r="HM583" s="64"/>
      <c r="HN583" s="64"/>
      <c r="HO583" s="64"/>
      <c r="HP583" s="64"/>
      <c r="HQ583" s="64"/>
      <c r="HR583" s="64"/>
      <c r="HS583" s="64"/>
      <c r="HT583" s="64"/>
      <c r="HU583" s="64"/>
      <c r="HV583" s="64"/>
      <c r="HW583" s="64"/>
      <c r="HX583" s="64"/>
      <c r="HY583" s="64"/>
      <c r="HZ583" s="64"/>
      <c r="IA583" s="64"/>
      <c r="IB583" s="64"/>
      <c r="IC583" s="64"/>
      <c r="ID583" s="64"/>
      <c r="IE583" s="64"/>
      <c r="IF583" s="64"/>
      <c r="IG583" s="64"/>
      <c r="IH583" s="64"/>
      <c r="II583" s="64"/>
      <c r="IJ583" s="64"/>
      <c r="IK583" s="64"/>
      <c r="IL583" s="64"/>
      <c r="IM583" s="64"/>
      <c r="IN583" s="64"/>
      <c r="IO583" s="64"/>
      <c r="IP583" s="64"/>
      <c r="IQ583" s="64"/>
      <c r="IR583" s="64"/>
      <c r="IS583" s="64"/>
      <c r="IT583" s="64"/>
      <c r="IU583" s="64"/>
      <c r="IV583" s="64"/>
      <c r="IW583" s="64"/>
      <c r="IX583" s="64"/>
      <c r="IY583" s="64"/>
      <c r="IZ583" s="64"/>
      <c r="JA583" s="64"/>
      <c r="JB583" s="64"/>
      <c r="JC583" s="64"/>
      <c r="JD583" s="64"/>
      <c r="JE583" s="64"/>
      <c r="JF583" s="64"/>
      <c r="JG583" s="64"/>
      <c r="JH583" s="64"/>
      <c r="JI583" s="64"/>
    </row>
    <row r="584" spans="1:269" s="920" customFormat="1" x14ac:dyDescent="0.2">
      <c r="A584" s="116"/>
      <c r="B584" s="64"/>
      <c r="C584" s="64"/>
      <c r="D584" s="64"/>
      <c r="E584" s="64"/>
      <c r="F584" s="64"/>
      <c r="G584" s="64"/>
      <c r="H584" s="64"/>
      <c r="I584" s="64"/>
      <c r="J584" s="116"/>
      <c r="K584" s="116"/>
      <c r="L584" s="116"/>
      <c r="M584" s="116"/>
      <c r="N584" s="116"/>
      <c r="O584" s="116"/>
      <c r="P584" s="116"/>
      <c r="Q584" s="102"/>
      <c r="R584" s="102"/>
      <c r="S584" s="102"/>
      <c r="T584" s="102"/>
      <c r="U584" s="913"/>
      <c r="V584" s="114"/>
      <c r="W584" s="805"/>
      <c r="X584" s="805"/>
      <c r="Y584" s="805"/>
      <c r="Z584" s="914"/>
      <c r="AA584" s="102"/>
      <c r="AB584" s="102"/>
      <c r="AC584" s="102"/>
      <c r="AD584" s="102"/>
      <c r="AE584" s="102"/>
      <c r="AF584" s="102"/>
      <c r="AG584" s="102"/>
      <c r="AH584" s="102"/>
      <c r="AI584" s="102"/>
      <c r="AJ584" s="906"/>
      <c r="AK584" s="102"/>
      <c r="AL584" s="915"/>
      <c r="AM584" s="915"/>
      <c r="AN584" s="114"/>
      <c r="AO584" s="64"/>
      <c r="AP584" s="64"/>
      <c r="AQ584" s="64"/>
      <c r="AR584" s="916"/>
      <c r="AS584" s="916"/>
      <c r="AT584" s="916"/>
      <c r="AU584" s="917"/>
      <c r="AV584" s="917"/>
      <c r="AW584" s="917"/>
      <c r="AX584" s="918"/>
      <c r="AY584" s="916"/>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917"/>
      <c r="CA584" s="917"/>
      <c r="CB584" s="64"/>
      <c r="CC584" s="919"/>
      <c r="CD584" s="919"/>
      <c r="CE584" s="64"/>
      <c r="CF584" s="528"/>
      <c r="CG584" s="529"/>
      <c r="CH584" s="64"/>
      <c r="CI584" s="64"/>
      <c r="CJ584" s="64"/>
      <c r="CK584" s="64"/>
      <c r="CL584" s="64"/>
      <c r="CM584" s="64"/>
      <c r="CN584" s="64"/>
      <c r="CO584" s="64"/>
      <c r="CP584" s="64"/>
      <c r="CQ584" s="64"/>
      <c r="CR584" s="64"/>
      <c r="CS584" s="64"/>
      <c r="CT584" s="64"/>
      <c r="CU584" s="64"/>
      <c r="CV584" s="64"/>
      <c r="CW584" s="64"/>
      <c r="CX584" s="64"/>
      <c r="CY584" s="1011"/>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c r="FC584" s="64"/>
      <c r="FD584" s="64"/>
      <c r="FE584" s="64"/>
      <c r="FF584" s="64"/>
      <c r="FG584" s="64"/>
      <c r="FH584" s="64"/>
      <c r="FI584" s="64"/>
      <c r="FJ584" s="64"/>
      <c r="FK584" s="64"/>
      <c r="FL584" s="64"/>
      <c r="FM584" s="64"/>
      <c r="FN584" s="64"/>
      <c r="FO584" s="64"/>
      <c r="FP584" s="64"/>
      <c r="FQ584" s="64"/>
      <c r="FR584" s="64"/>
      <c r="FS584" s="64"/>
      <c r="FT584" s="64"/>
      <c r="FU584" s="64"/>
      <c r="FV584" s="64"/>
      <c r="FW584" s="64"/>
      <c r="FX584" s="64"/>
      <c r="FY584" s="64"/>
      <c r="FZ584" s="64"/>
      <c r="GA584" s="64"/>
      <c r="GB584" s="64"/>
      <c r="GC584" s="64"/>
      <c r="GD584" s="64"/>
      <c r="GE584" s="64"/>
      <c r="GF584" s="64"/>
      <c r="GG584" s="64"/>
      <c r="GH584" s="64"/>
      <c r="GI584" s="64"/>
      <c r="GJ584" s="64"/>
      <c r="GK584" s="64"/>
      <c r="GL584" s="64"/>
      <c r="GM584" s="64"/>
      <c r="GN584" s="64"/>
      <c r="GO584" s="64"/>
      <c r="GP584" s="64"/>
      <c r="GQ584" s="64"/>
      <c r="GR584" s="64"/>
      <c r="GS584" s="64"/>
      <c r="GT584" s="64"/>
      <c r="GU584" s="64"/>
      <c r="GV584" s="64"/>
      <c r="GW584" s="64"/>
      <c r="GX584" s="64"/>
      <c r="GY584" s="64"/>
      <c r="GZ584" s="64"/>
      <c r="HA584" s="64"/>
      <c r="HB584" s="64"/>
      <c r="HC584" s="64"/>
      <c r="HD584" s="64"/>
      <c r="HE584" s="64"/>
      <c r="HF584" s="64"/>
      <c r="HG584" s="64"/>
      <c r="HH584" s="64"/>
      <c r="HI584" s="64"/>
      <c r="HJ584" s="64"/>
      <c r="HK584" s="64"/>
      <c r="HL584" s="64"/>
      <c r="HM584" s="64"/>
      <c r="HN584" s="64"/>
      <c r="HO584" s="64"/>
      <c r="HP584" s="64"/>
      <c r="HQ584" s="64"/>
      <c r="HR584" s="64"/>
      <c r="HS584" s="64"/>
      <c r="HT584" s="64"/>
      <c r="HU584" s="64"/>
      <c r="HV584" s="64"/>
      <c r="HW584" s="64"/>
      <c r="HX584" s="64"/>
      <c r="HY584" s="64"/>
      <c r="HZ584" s="64"/>
      <c r="IA584" s="64"/>
      <c r="IB584" s="64"/>
      <c r="IC584" s="64"/>
      <c r="ID584" s="64"/>
      <c r="IE584" s="64"/>
      <c r="IF584" s="64"/>
      <c r="IG584" s="64"/>
      <c r="IH584" s="64"/>
      <c r="II584" s="64"/>
      <c r="IJ584" s="64"/>
      <c r="IK584" s="64"/>
      <c r="IL584" s="64"/>
      <c r="IM584" s="64"/>
      <c r="IN584" s="64"/>
      <c r="IO584" s="64"/>
      <c r="IP584" s="64"/>
      <c r="IQ584" s="64"/>
      <c r="IR584" s="64"/>
      <c r="IS584" s="64"/>
      <c r="IT584" s="64"/>
      <c r="IU584" s="64"/>
      <c r="IV584" s="64"/>
      <c r="IW584" s="64"/>
      <c r="IX584" s="64"/>
      <c r="IY584" s="64"/>
      <c r="IZ584" s="64"/>
      <c r="JA584" s="64"/>
      <c r="JB584" s="64"/>
      <c r="JC584" s="64"/>
      <c r="JD584" s="64"/>
      <c r="JE584" s="64"/>
      <c r="JF584" s="64"/>
      <c r="JG584" s="64"/>
      <c r="JH584" s="64"/>
      <c r="JI584" s="64"/>
    </row>
    <row r="585" spans="1:269" s="920" customFormat="1" x14ac:dyDescent="0.2">
      <c r="A585" s="116"/>
      <c r="B585" s="64"/>
      <c r="C585" s="64"/>
      <c r="D585" s="64"/>
      <c r="E585" s="64"/>
      <c r="F585" s="64"/>
      <c r="G585" s="64"/>
      <c r="H585" s="64"/>
      <c r="I585" s="64"/>
      <c r="J585" s="116"/>
      <c r="K585" s="116"/>
      <c r="L585" s="116"/>
      <c r="M585" s="116"/>
      <c r="N585" s="116"/>
      <c r="O585" s="116"/>
      <c r="P585" s="116"/>
      <c r="Q585" s="102"/>
      <c r="R585" s="102"/>
      <c r="S585" s="102"/>
      <c r="T585" s="102"/>
      <c r="U585" s="913"/>
      <c r="V585" s="114"/>
      <c r="W585" s="805"/>
      <c r="X585" s="805"/>
      <c r="Y585" s="805"/>
      <c r="Z585" s="914"/>
      <c r="AA585" s="102"/>
      <c r="AB585" s="102"/>
      <c r="AC585" s="102"/>
      <c r="AD585" s="102"/>
      <c r="AE585" s="102"/>
      <c r="AF585" s="102"/>
      <c r="AG585" s="102"/>
      <c r="AH585" s="102"/>
      <c r="AI585" s="102"/>
      <c r="AJ585" s="906"/>
      <c r="AK585" s="102"/>
      <c r="AL585" s="915"/>
      <c r="AM585" s="915"/>
      <c r="AN585" s="114"/>
      <c r="AO585" s="64"/>
      <c r="AP585" s="64"/>
      <c r="AQ585" s="64"/>
      <c r="AR585" s="916"/>
      <c r="AS585" s="916"/>
      <c r="AT585" s="916"/>
      <c r="AU585" s="917"/>
      <c r="AV585" s="917"/>
      <c r="AW585" s="917"/>
      <c r="AX585" s="918"/>
      <c r="AY585" s="916"/>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917"/>
      <c r="CA585" s="917"/>
      <c r="CB585" s="64"/>
      <c r="CC585" s="919"/>
      <c r="CD585" s="919"/>
      <c r="CE585" s="64"/>
      <c r="CF585" s="528"/>
      <c r="CG585" s="529"/>
      <c r="CH585" s="64"/>
      <c r="CI585" s="64"/>
      <c r="CJ585" s="64"/>
      <c r="CK585" s="64"/>
      <c r="CL585" s="64"/>
      <c r="CM585" s="64"/>
      <c r="CN585" s="64"/>
      <c r="CO585" s="64"/>
      <c r="CP585" s="64"/>
      <c r="CQ585" s="64"/>
      <c r="CR585" s="64"/>
      <c r="CS585" s="64"/>
      <c r="CT585" s="64"/>
      <c r="CU585" s="64"/>
      <c r="CV585" s="64"/>
      <c r="CW585" s="64"/>
      <c r="CX585" s="64"/>
      <c r="CY585" s="1011"/>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c r="FC585" s="64"/>
      <c r="FD585" s="64"/>
      <c r="FE585" s="64"/>
      <c r="FF585" s="64"/>
      <c r="FG585" s="64"/>
      <c r="FH585" s="64"/>
      <c r="FI585" s="64"/>
      <c r="FJ585" s="64"/>
      <c r="FK585" s="64"/>
      <c r="FL585" s="64"/>
      <c r="FM585" s="64"/>
      <c r="FN585" s="64"/>
      <c r="FO585" s="64"/>
      <c r="FP585" s="64"/>
      <c r="FQ585" s="64"/>
      <c r="FR585" s="64"/>
      <c r="FS585" s="64"/>
      <c r="FT585" s="64"/>
      <c r="FU585" s="64"/>
      <c r="FV585" s="64"/>
      <c r="FW585" s="64"/>
      <c r="FX585" s="64"/>
      <c r="FY585" s="64"/>
      <c r="FZ585" s="64"/>
      <c r="GA585" s="64"/>
      <c r="GB585" s="64"/>
      <c r="GC585" s="64"/>
      <c r="GD585" s="64"/>
      <c r="GE585" s="64"/>
      <c r="GF585" s="64"/>
      <c r="GG585" s="64"/>
      <c r="GH585" s="64"/>
      <c r="GI585" s="64"/>
      <c r="GJ585" s="64"/>
      <c r="GK585" s="64"/>
      <c r="GL585" s="64"/>
      <c r="GM585" s="64"/>
      <c r="GN585" s="64"/>
      <c r="GO585" s="64"/>
      <c r="GP585" s="64"/>
      <c r="GQ585" s="64"/>
      <c r="GR585" s="64"/>
      <c r="GS585" s="64"/>
      <c r="GT585" s="64"/>
      <c r="GU585" s="64"/>
      <c r="GV585" s="64"/>
      <c r="GW585" s="64"/>
      <c r="GX585" s="64"/>
      <c r="GY585" s="64"/>
      <c r="GZ585" s="64"/>
      <c r="HA585" s="64"/>
      <c r="HB585" s="64"/>
      <c r="HC585" s="64"/>
      <c r="HD585" s="64"/>
      <c r="HE585" s="64"/>
      <c r="HF585" s="64"/>
      <c r="HG585" s="64"/>
      <c r="HH585" s="64"/>
      <c r="HI585" s="64"/>
      <c r="HJ585" s="64"/>
      <c r="HK585" s="64"/>
      <c r="HL585" s="64"/>
      <c r="HM585" s="64"/>
      <c r="HN585" s="64"/>
      <c r="HO585" s="64"/>
      <c r="HP585" s="64"/>
      <c r="HQ585" s="64"/>
      <c r="HR585" s="64"/>
      <c r="HS585" s="64"/>
      <c r="HT585" s="64"/>
      <c r="HU585" s="64"/>
      <c r="HV585" s="64"/>
      <c r="HW585" s="64"/>
      <c r="HX585" s="64"/>
      <c r="HY585" s="64"/>
      <c r="HZ585" s="64"/>
      <c r="IA585" s="64"/>
      <c r="IB585" s="64"/>
      <c r="IC585" s="64"/>
      <c r="ID585" s="64"/>
      <c r="IE585" s="64"/>
      <c r="IF585" s="64"/>
      <c r="IG585" s="64"/>
      <c r="IH585" s="64"/>
      <c r="II585" s="64"/>
      <c r="IJ585" s="64"/>
      <c r="IK585" s="64"/>
      <c r="IL585" s="64"/>
      <c r="IM585" s="64"/>
      <c r="IN585" s="64"/>
      <c r="IO585" s="64"/>
      <c r="IP585" s="64"/>
      <c r="IQ585" s="64"/>
      <c r="IR585" s="64"/>
      <c r="IS585" s="64"/>
      <c r="IT585" s="64"/>
      <c r="IU585" s="64"/>
      <c r="IV585" s="64"/>
      <c r="IW585" s="64"/>
      <c r="IX585" s="64"/>
      <c r="IY585" s="64"/>
      <c r="IZ585" s="64"/>
      <c r="JA585" s="64"/>
      <c r="JB585" s="64"/>
      <c r="JC585" s="64"/>
      <c r="JD585" s="64"/>
      <c r="JE585" s="64"/>
      <c r="JF585" s="64"/>
      <c r="JG585" s="64"/>
      <c r="JH585" s="64"/>
      <c r="JI585" s="64"/>
    </row>
  </sheetData>
  <sheetProtection password="E801" sheet="1" objects="1" scenarios="1"/>
  <mergeCells count="1522">
    <mergeCell ref="AM172:AM174"/>
    <mergeCell ref="DA58:DA59"/>
    <mergeCell ref="CD179:CD182"/>
    <mergeCell ref="CD185:CD188"/>
    <mergeCell ref="BH82:BH83"/>
    <mergeCell ref="BI82:BI83"/>
    <mergeCell ref="BJ82:BJ83"/>
    <mergeCell ref="BK82:BK83"/>
    <mergeCell ref="BH91:BH92"/>
    <mergeCell ref="BJ163:BJ165"/>
    <mergeCell ref="BK163:BK165"/>
    <mergeCell ref="BL163:BL165"/>
    <mergeCell ref="BM163:BM165"/>
    <mergeCell ref="BH172:BH173"/>
    <mergeCell ref="BI172:BI173"/>
    <mergeCell ref="BJ172:BJ173"/>
    <mergeCell ref="BK172:BK173"/>
    <mergeCell ref="BL172:BL173"/>
    <mergeCell ref="BM172:BM173"/>
    <mergeCell ref="BL179:BL182"/>
    <mergeCell ref="BM179:BM182"/>
    <mergeCell ref="BH185:BH188"/>
    <mergeCell ref="BI185:BI188"/>
    <mergeCell ref="BJ185:BJ188"/>
    <mergeCell ref="BK185:BK188"/>
    <mergeCell ref="BL185:BL188"/>
    <mergeCell ref="BM185:BM188"/>
    <mergeCell ref="BJ158:BJ161"/>
    <mergeCell ref="BK158:BK161"/>
    <mergeCell ref="BL158:BL161"/>
    <mergeCell ref="BM158:BM161"/>
    <mergeCell ref="BI107:BI112"/>
    <mergeCell ref="BJ107:BJ112"/>
    <mergeCell ref="CB18:CB19"/>
    <mergeCell ref="BN10:BN14"/>
    <mergeCell ref="BH100:BH101"/>
    <mergeCell ref="BI100:BI101"/>
    <mergeCell ref="BJ100:BJ101"/>
    <mergeCell ref="BK100:BK101"/>
    <mergeCell ref="BL100:BL101"/>
    <mergeCell ref="BM100:BM101"/>
    <mergeCell ref="BZ63:BZ69"/>
    <mergeCell ref="CD135:CD139"/>
    <mergeCell ref="CD141:CD143"/>
    <mergeCell ref="CD145:CD147"/>
    <mergeCell ref="CD149:CD151"/>
    <mergeCell ref="CD155:CD156"/>
    <mergeCell ref="BJ71:BJ74"/>
    <mergeCell ref="BK71:BK74"/>
    <mergeCell ref="BH63:BH69"/>
    <mergeCell ref="BI63:BI69"/>
    <mergeCell ref="BJ63:BJ69"/>
    <mergeCell ref="BK63:BK69"/>
    <mergeCell ref="BL63:BL69"/>
    <mergeCell ref="BM63:BM69"/>
    <mergeCell ref="BK107:BK112"/>
    <mergeCell ref="BL107:BL112"/>
    <mergeCell ref="BM107:BM112"/>
    <mergeCell ref="BH127:BH129"/>
    <mergeCell ref="BI127:BI129"/>
    <mergeCell ref="BJ127:BJ129"/>
    <mergeCell ref="BK127:BK129"/>
    <mergeCell ref="BM127:BM129"/>
    <mergeCell ref="BH119:BH126"/>
    <mergeCell ref="CD158:CD161"/>
    <mergeCell ref="CD163:CD165"/>
    <mergeCell ref="CD91:CD92"/>
    <mergeCell ref="CD98:CD99"/>
    <mergeCell ref="CD100:CD101"/>
    <mergeCell ref="CD107:CD112"/>
    <mergeCell ref="CD119:CD126"/>
    <mergeCell ref="CD127:CD129"/>
    <mergeCell ref="BZ18:BZ19"/>
    <mergeCell ref="CA18:CA19"/>
    <mergeCell ref="CA53:CA54"/>
    <mergeCell ref="CB53:CB54"/>
    <mergeCell ref="CC53:CC54"/>
    <mergeCell ref="BZ100:BZ101"/>
    <mergeCell ref="CA100:CA101"/>
    <mergeCell ref="CB100:CB101"/>
    <mergeCell ref="CC100:CC101"/>
    <mergeCell ref="CA107:CA112"/>
    <mergeCell ref="CB58:CB59"/>
    <mergeCell ref="CC58:CC59"/>
    <mergeCell ref="CB79:CB80"/>
    <mergeCell ref="CC79:CC80"/>
    <mergeCell ref="BZ88:BZ90"/>
    <mergeCell ref="BZ107:BZ112"/>
    <mergeCell ref="CB107:CB112"/>
    <mergeCell ref="CC107:CC112"/>
    <mergeCell ref="CA119:CA126"/>
    <mergeCell ref="CB119:CB126"/>
    <mergeCell ref="CC119:CC126"/>
    <mergeCell ref="CB127:CB129"/>
    <mergeCell ref="CC127:CC129"/>
    <mergeCell ref="CA145:CA147"/>
    <mergeCell ref="CD172:CD177"/>
    <mergeCell ref="BL71:BL74"/>
    <mergeCell ref="BM71:BM74"/>
    <mergeCell ref="BZ60:BZ61"/>
    <mergeCell ref="CA60:CA61"/>
    <mergeCell ref="BL119:BL126"/>
    <mergeCell ref="BM119:BM126"/>
    <mergeCell ref="BL82:BL83"/>
    <mergeCell ref="BM82:BM83"/>
    <mergeCell ref="BI149:BI151"/>
    <mergeCell ref="BJ149:BJ151"/>
    <mergeCell ref="BK149:BK151"/>
    <mergeCell ref="BL149:BL151"/>
    <mergeCell ref="BM149:BM151"/>
    <mergeCell ref="BH158:BH161"/>
    <mergeCell ref="BI158:BI161"/>
    <mergeCell ref="CD4:CD5"/>
    <mergeCell ref="BZ155:BZ156"/>
    <mergeCell ref="CD10:CD14"/>
    <mergeCell ref="CD18:CD19"/>
    <mergeCell ref="CD22:CD27"/>
    <mergeCell ref="CD29:CD33"/>
    <mergeCell ref="CD35:CD38"/>
    <mergeCell ref="CD40:CD46"/>
    <mergeCell ref="CD49:CD51"/>
    <mergeCell ref="CD53:CD54"/>
    <mergeCell ref="CD58:CD59"/>
    <mergeCell ref="CD63:CD69"/>
    <mergeCell ref="CD71:CD74"/>
    <mergeCell ref="CD79:CD80"/>
    <mergeCell ref="CD82:CD83"/>
    <mergeCell ref="CD88:CD90"/>
    <mergeCell ref="BI119:BI126"/>
    <mergeCell ref="BY71:BY74"/>
    <mergeCell ref="BZ79:BZ80"/>
    <mergeCell ref="CA79:CA80"/>
    <mergeCell ref="BW82:BW83"/>
    <mergeCell ref="BX82:BX83"/>
    <mergeCell ref="BY82:BY83"/>
    <mergeCell ref="BZ82:BZ83"/>
    <mergeCell ref="CA82:CA83"/>
    <mergeCell ref="BW91:BW92"/>
    <mergeCell ref="BX91:BX92"/>
    <mergeCell ref="BY91:BY92"/>
    <mergeCell ref="BZ91:BZ92"/>
    <mergeCell ref="BH49:BH51"/>
    <mergeCell ref="BI49:BI51"/>
    <mergeCell ref="BJ49:BJ51"/>
    <mergeCell ref="BK49:BK51"/>
    <mergeCell ref="BL49:BL51"/>
    <mergeCell ref="BM49:BM51"/>
    <mergeCell ref="BH53:BH54"/>
    <mergeCell ref="BI53:BI54"/>
    <mergeCell ref="BJ53:BJ54"/>
    <mergeCell ref="BK53:BK54"/>
    <mergeCell ref="BL53:BL54"/>
    <mergeCell ref="BM53:BM54"/>
    <mergeCell ref="BM58:BM59"/>
    <mergeCell ref="BH60:BH61"/>
    <mergeCell ref="BI60:BI61"/>
    <mergeCell ref="BJ60:BJ61"/>
    <mergeCell ref="BH107:BH112"/>
    <mergeCell ref="BK60:BK61"/>
    <mergeCell ref="BL60:BL61"/>
    <mergeCell ref="BM60:BM61"/>
    <mergeCell ref="BH10:BH14"/>
    <mergeCell ref="BI10:BI14"/>
    <mergeCell ref="BJ10:BJ14"/>
    <mergeCell ref="BK10:BK14"/>
    <mergeCell ref="BL10:BL14"/>
    <mergeCell ref="BM10:BM14"/>
    <mergeCell ref="BH29:BH33"/>
    <mergeCell ref="BI29:BI33"/>
    <mergeCell ref="BJ29:BJ33"/>
    <mergeCell ref="BK29:BK33"/>
    <mergeCell ref="BL29:BL33"/>
    <mergeCell ref="BM29:BM33"/>
    <mergeCell ref="BH40:BH46"/>
    <mergeCell ref="BI40:BI46"/>
    <mergeCell ref="BJ40:BJ46"/>
    <mergeCell ref="BK40:BK46"/>
    <mergeCell ref="BL40:BL46"/>
    <mergeCell ref="BM40:BM46"/>
    <mergeCell ref="BH22:BH25"/>
    <mergeCell ref="BI22:BI25"/>
    <mergeCell ref="BJ22:BJ25"/>
    <mergeCell ref="BK22:BK25"/>
    <mergeCell ref="BL22:BL25"/>
    <mergeCell ref="BM22:BM25"/>
    <mergeCell ref="BH58:BH59"/>
    <mergeCell ref="BI58:BI59"/>
    <mergeCell ref="BJ58:BJ59"/>
    <mergeCell ref="BK58:BK59"/>
    <mergeCell ref="BL58:BL59"/>
    <mergeCell ref="AM29:AM32"/>
    <mergeCell ref="AM40:AM41"/>
    <mergeCell ref="AM42:AM45"/>
    <mergeCell ref="AM50:AM51"/>
    <mergeCell ref="AM53:AM54"/>
    <mergeCell ref="P60:P61"/>
    <mergeCell ref="R60:R61"/>
    <mergeCell ref="AM58:AM59"/>
    <mergeCell ref="AM60:AM61"/>
    <mergeCell ref="AM63:AM67"/>
    <mergeCell ref="AM71:AM74"/>
    <mergeCell ref="AM82:AM83"/>
    <mergeCell ref="AC58:AC59"/>
    <mergeCell ref="AD58:AD59"/>
    <mergeCell ref="Z58:Z59"/>
    <mergeCell ref="Q29:Q32"/>
    <mergeCell ref="R29:R32"/>
    <mergeCell ref="S29:S32"/>
    <mergeCell ref="T29:T32"/>
    <mergeCell ref="AI58:AI59"/>
    <mergeCell ref="AJ58:AJ59"/>
    <mergeCell ref="AK58:AK59"/>
    <mergeCell ref="AL50:AL51"/>
    <mergeCell ref="AL53:AL54"/>
    <mergeCell ref="AL58:AL59"/>
    <mergeCell ref="AL71:AL74"/>
    <mergeCell ref="P63:P67"/>
    <mergeCell ref="Q63:Q67"/>
    <mergeCell ref="R63:R67"/>
    <mergeCell ref="S63:S67"/>
    <mergeCell ref="T63:T67"/>
    <mergeCell ref="S40:S41"/>
    <mergeCell ref="E2:CC2"/>
    <mergeCell ref="E3:CC3"/>
    <mergeCell ref="F4:I4"/>
    <mergeCell ref="L4:O4"/>
    <mergeCell ref="Q4:T4"/>
    <mergeCell ref="AO4:AQ4"/>
    <mergeCell ref="AR4:AT4"/>
    <mergeCell ref="AU4:AW4"/>
    <mergeCell ref="AX4:AZ4"/>
    <mergeCell ref="BB4:BC4"/>
    <mergeCell ref="BN4:BQ4"/>
    <mergeCell ref="BR4:BU4"/>
    <mergeCell ref="BV4:BY4"/>
    <mergeCell ref="AI4:AI5"/>
    <mergeCell ref="AJ4:AJ5"/>
    <mergeCell ref="AK4:AK5"/>
    <mergeCell ref="AL4:AL5"/>
    <mergeCell ref="AN4:AN5"/>
    <mergeCell ref="BZ4:BZ5"/>
    <mergeCell ref="CA4:CA5"/>
    <mergeCell ref="CB4:CB5"/>
    <mergeCell ref="CC4:CC5"/>
    <mergeCell ref="AM4:AM5"/>
    <mergeCell ref="BD4:BM4"/>
    <mergeCell ref="AV10:AV14"/>
    <mergeCell ref="AW10:AW14"/>
    <mergeCell ref="AX10:AX14"/>
    <mergeCell ref="AY10:AY14"/>
    <mergeCell ref="AZ10:AZ14"/>
    <mergeCell ref="BA10:BA14"/>
    <mergeCell ref="BB10:BB14"/>
    <mergeCell ref="BC10:BC14"/>
    <mergeCell ref="CC10:CC14"/>
    <mergeCell ref="A4:A5"/>
    <mergeCell ref="C4:C5"/>
    <mergeCell ref="D4:D5"/>
    <mergeCell ref="E4:E5"/>
    <mergeCell ref="J4:J5"/>
    <mergeCell ref="K4:K5"/>
    <mergeCell ref="P4:P5"/>
    <mergeCell ref="U4:U5"/>
    <mergeCell ref="V4:V5"/>
    <mergeCell ref="W4:W5"/>
    <mergeCell ref="X4:X5"/>
    <mergeCell ref="Y4:Y5"/>
    <mergeCell ref="Z4:Z5"/>
    <mergeCell ref="AA4:AA5"/>
    <mergeCell ref="AB4:AB5"/>
    <mergeCell ref="AG4:AG5"/>
    <mergeCell ref="AH4:AH5"/>
    <mergeCell ref="AC4:AC5"/>
    <mergeCell ref="AD4:AD5"/>
    <mergeCell ref="AE4:AE5"/>
    <mergeCell ref="AF4:AF5"/>
    <mergeCell ref="C7:C8"/>
    <mergeCell ref="D7:D8"/>
    <mergeCell ref="K10:K11"/>
    <mergeCell ref="J10:J14"/>
    <mergeCell ref="K13:K14"/>
    <mergeCell ref="P10:P14"/>
    <mergeCell ref="Q10:Q14"/>
    <mergeCell ref="R10:R14"/>
    <mergeCell ref="S10:S14"/>
    <mergeCell ref="T10:T14"/>
    <mergeCell ref="AO10:AO14"/>
    <mergeCell ref="AP10:AP14"/>
    <mergeCell ref="AQ10:AQ14"/>
    <mergeCell ref="AR10:AR14"/>
    <mergeCell ref="AS10:AS14"/>
    <mergeCell ref="AT10:AT14"/>
    <mergeCell ref="AU10:AU14"/>
    <mergeCell ref="AL10:AL13"/>
    <mergeCell ref="J18:J19"/>
    <mergeCell ref="K18:K19"/>
    <mergeCell ref="P18:P19"/>
    <mergeCell ref="AO18:AO19"/>
    <mergeCell ref="AP18:AP19"/>
    <mergeCell ref="AQ18:AQ19"/>
    <mergeCell ref="AR18:AR19"/>
    <mergeCell ref="AS18:AS19"/>
    <mergeCell ref="AT18:AT19"/>
    <mergeCell ref="AU18:AU19"/>
    <mergeCell ref="AM10:AM13"/>
    <mergeCell ref="AV18:AV19"/>
    <mergeCell ref="AW18:AW19"/>
    <mergeCell ref="AX18:AX19"/>
    <mergeCell ref="AY18:AY19"/>
    <mergeCell ref="AZ18:AZ19"/>
    <mergeCell ref="BA18:BA19"/>
    <mergeCell ref="BO18:BO19"/>
    <mergeCell ref="BP18:BP19"/>
    <mergeCell ref="BQ18:BQ19"/>
    <mergeCell ref="BR18:BR19"/>
    <mergeCell ref="BS18:BS19"/>
    <mergeCell ref="BT18:BT19"/>
    <mergeCell ref="BU18:BU19"/>
    <mergeCell ref="BV18:BV19"/>
    <mergeCell ref="BW18:BW19"/>
    <mergeCell ref="BX18:BX19"/>
    <mergeCell ref="BY18:BY19"/>
    <mergeCell ref="BO10:BO14"/>
    <mergeCell ref="BP10:BP14"/>
    <mergeCell ref="BQ10:BQ14"/>
    <mergeCell ref="BR10:BR14"/>
    <mergeCell ref="BS10:BS14"/>
    <mergeCell ref="BT10:BT14"/>
    <mergeCell ref="BU10:BU14"/>
    <mergeCell ref="BV10:BV14"/>
    <mergeCell ref="BW10:BW14"/>
    <mergeCell ref="BX10:BX14"/>
    <mergeCell ref="BY10:BY14"/>
    <mergeCell ref="BZ10:BZ14"/>
    <mergeCell ref="CA10:CA14"/>
    <mergeCell ref="CB10:CB14"/>
    <mergeCell ref="CC18:CC19"/>
    <mergeCell ref="P22:P25"/>
    <mergeCell ref="Q22:Q25"/>
    <mergeCell ref="R22:R25"/>
    <mergeCell ref="S22:S25"/>
    <mergeCell ref="T22:T25"/>
    <mergeCell ref="AO22:AO25"/>
    <mergeCell ref="AP22:AP25"/>
    <mergeCell ref="AQ22:AQ25"/>
    <mergeCell ref="AR22:AR25"/>
    <mergeCell ref="AS22:AS25"/>
    <mergeCell ref="AT22:AT25"/>
    <mergeCell ref="AU22:AU25"/>
    <mergeCell ref="AV22:AV25"/>
    <mergeCell ref="AW22:AW25"/>
    <mergeCell ref="BN22:BN25"/>
    <mergeCell ref="BO22:BO25"/>
    <mergeCell ref="BP22:BP25"/>
    <mergeCell ref="BQ22:BQ25"/>
    <mergeCell ref="BR22:BR25"/>
    <mergeCell ref="BS22:BS25"/>
    <mergeCell ref="BT22:BT25"/>
    <mergeCell ref="BU22:BU25"/>
    <mergeCell ref="BV22:BV25"/>
    <mergeCell ref="BW22:BW25"/>
    <mergeCell ref="BX22:BX25"/>
    <mergeCell ref="BY22:BY25"/>
    <mergeCell ref="BZ22:BZ25"/>
    <mergeCell ref="CC22:CC27"/>
    <mergeCell ref="BB18:BB19"/>
    <mergeCell ref="BC18:BC19"/>
    <mergeCell ref="BN18:BN19"/>
    <mergeCell ref="J22:J27"/>
    <mergeCell ref="K22:K27"/>
    <mergeCell ref="AO26:AO27"/>
    <mergeCell ref="AP26:AP27"/>
    <mergeCell ref="AQ26:AQ27"/>
    <mergeCell ref="AS26:AS27"/>
    <mergeCell ref="AU26:AU27"/>
    <mergeCell ref="AV26:AV27"/>
    <mergeCell ref="AW26:AW27"/>
    <mergeCell ref="AX22:AX27"/>
    <mergeCell ref="AY22:AY27"/>
    <mergeCell ref="AZ22:AZ27"/>
    <mergeCell ref="BA22:BA27"/>
    <mergeCell ref="BB22:BB27"/>
    <mergeCell ref="BC22:BC27"/>
    <mergeCell ref="CA22:CA27"/>
    <mergeCell ref="CB22:CB27"/>
    <mergeCell ref="AL22:AL25"/>
    <mergeCell ref="AM22:AM25"/>
    <mergeCell ref="BY29:BY33"/>
    <mergeCell ref="BZ29:BZ33"/>
    <mergeCell ref="CA29:CA33"/>
    <mergeCell ref="CB29:CB33"/>
    <mergeCell ref="CC29:CC33"/>
    <mergeCell ref="J35:J38"/>
    <mergeCell ref="K35:K38"/>
    <mergeCell ref="AX35:AX38"/>
    <mergeCell ref="AY35:AY38"/>
    <mergeCell ref="AZ35:AZ38"/>
    <mergeCell ref="BA35:BA38"/>
    <mergeCell ref="BB35:BB38"/>
    <mergeCell ref="BC35:BC38"/>
    <mergeCell ref="CA35:CA38"/>
    <mergeCell ref="CB35:CB38"/>
    <mergeCell ref="CC35:CC38"/>
    <mergeCell ref="J29:J33"/>
    <mergeCell ref="K29:K33"/>
    <mergeCell ref="P29:P33"/>
    <mergeCell ref="AR29:AR33"/>
    <mergeCell ref="AS29:AS33"/>
    <mergeCell ref="AT29:AT33"/>
    <mergeCell ref="AU29:AU33"/>
    <mergeCell ref="AV29:AV33"/>
    <mergeCell ref="AW29:AW33"/>
    <mergeCell ref="AX29:AX33"/>
    <mergeCell ref="AY29:AY33"/>
    <mergeCell ref="AZ29:AZ33"/>
    <mergeCell ref="BA29:BA33"/>
    <mergeCell ref="AL29:AL33"/>
    <mergeCell ref="BB29:BB33"/>
    <mergeCell ref="BC29:BC33"/>
    <mergeCell ref="BC40:BC46"/>
    <mergeCell ref="BN40:BN46"/>
    <mergeCell ref="BO40:BO46"/>
    <mergeCell ref="BP40:BP46"/>
    <mergeCell ref="BQ40:BQ46"/>
    <mergeCell ref="BR40:BR46"/>
    <mergeCell ref="BS40:BS46"/>
    <mergeCell ref="BO29:BO33"/>
    <mergeCell ref="BP29:BP33"/>
    <mergeCell ref="BQ29:BQ33"/>
    <mergeCell ref="BR29:BR33"/>
    <mergeCell ref="BS29:BS33"/>
    <mergeCell ref="BT29:BT33"/>
    <mergeCell ref="BU29:BU33"/>
    <mergeCell ref="BV29:BV33"/>
    <mergeCell ref="BW29:BW33"/>
    <mergeCell ref="BX29:BX33"/>
    <mergeCell ref="BN29:BN33"/>
    <mergeCell ref="BT40:BT46"/>
    <mergeCell ref="BU40:BU46"/>
    <mergeCell ref="BV40:BV46"/>
    <mergeCell ref="BD40:BD46"/>
    <mergeCell ref="BE40:BE46"/>
    <mergeCell ref="BF40:BF46"/>
    <mergeCell ref="BG40:BG46"/>
    <mergeCell ref="K42:K45"/>
    <mergeCell ref="P42:P45"/>
    <mergeCell ref="Q42:Q45"/>
    <mergeCell ref="R42:R45"/>
    <mergeCell ref="S42:S45"/>
    <mergeCell ref="T42:T45"/>
    <mergeCell ref="J40:J46"/>
    <mergeCell ref="AO40:AO46"/>
    <mergeCell ref="AP40:AP46"/>
    <mergeCell ref="AQ40:AQ46"/>
    <mergeCell ref="AR40:AR46"/>
    <mergeCell ref="AS40:AS46"/>
    <mergeCell ref="AT40:AT46"/>
    <mergeCell ref="AU40:AU46"/>
    <mergeCell ref="AV40:AV46"/>
    <mergeCell ref="AW40:AW46"/>
    <mergeCell ref="AX40:AX46"/>
    <mergeCell ref="AL40:AL41"/>
    <mergeCell ref="AL42:AL45"/>
    <mergeCell ref="K40:K41"/>
    <mergeCell ref="P40:P41"/>
    <mergeCell ref="Q40:Q41"/>
    <mergeCell ref="R40:R41"/>
    <mergeCell ref="T40:T41"/>
    <mergeCell ref="AY40:AY46"/>
    <mergeCell ref="AZ40:AZ46"/>
    <mergeCell ref="BA40:BA46"/>
    <mergeCell ref="BB40:BB46"/>
    <mergeCell ref="BW40:BW46"/>
    <mergeCell ref="BX40:BX46"/>
    <mergeCell ref="BY40:BY46"/>
    <mergeCell ref="BZ40:BZ46"/>
    <mergeCell ref="CA40:CA46"/>
    <mergeCell ref="CB40:CB46"/>
    <mergeCell ref="CC40:CC46"/>
    <mergeCell ref="P49:P51"/>
    <mergeCell ref="Q49:Q51"/>
    <mergeCell ref="R49:R51"/>
    <mergeCell ref="S49:S51"/>
    <mergeCell ref="T49:T51"/>
    <mergeCell ref="AO49:AO51"/>
    <mergeCell ref="AP49:AP51"/>
    <mergeCell ref="AQ49:AQ51"/>
    <mergeCell ref="AS49:AS51"/>
    <mergeCell ref="AT49:AT51"/>
    <mergeCell ref="AU49:AU51"/>
    <mergeCell ref="AV49:AV51"/>
    <mergeCell ref="AW49:AW51"/>
    <mergeCell ref="AX49:AX51"/>
    <mergeCell ref="AY49:AY51"/>
    <mergeCell ref="AZ49:AZ51"/>
    <mergeCell ref="BA49:BA51"/>
    <mergeCell ref="BB49:BB51"/>
    <mergeCell ref="BC49:BC51"/>
    <mergeCell ref="BN49:BN51"/>
    <mergeCell ref="BO49:BO51"/>
    <mergeCell ref="CA49:CA51"/>
    <mergeCell ref="CB49:CB51"/>
    <mergeCell ref="CC49:CC51"/>
    <mergeCell ref="K49:K54"/>
    <mergeCell ref="P53:P54"/>
    <mergeCell ref="Q53:Q54"/>
    <mergeCell ref="R53:R54"/>
    <mergeCell ref="S53:S54"/>
    <mergeCell ref="T53:T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BS53:BS54"/>
    <mergeCell ref="BT53:BT54"/>
    <mergeCell ref="BU53:BU54"/>
    <mergeCell ref="BV53:BV54"/>
    <mergeCell ref="BW53:BW54"/>
    <mergeCell ref="BX53:BX54"/>
    <mergeCell ref="BY53:BY54"/>
    <mergeCell ref="BZ53:BZ54"/>
    <mergeCell ref="BP49:BP51"/>
    <mergeCell ref="BQ49:BQ51"/>
    <mergeCell ref="BR49:BR51"/>
    <mergeCell ref="BS49:BS51"/>
    <mergeCell ref="BT49:BT51"/>
    <mergeCell ref="BU49:BU51"/>
    <mergeCell ref="BV49:BV51"/>
    <mergeCell ref="BW49:BW51"/>
    <mergeCell ref="BX49:BX51"/>
    <mergeCell ref="BY49:BY51"/>
    <mergeCell ref="BZ49:BZ51"/>
    <mergeCell ref="AS58:AS59"/>
    <mergeCell ref="AT58:AT59"/>
    <mergeCell ref="AU58:AU59"/>
    <mergeCell ref="AV58:AV59"/>
    <mergeCell ref="AW58:AW59"/>
    <mergeCell ref="AX58:AX59"/>
    <mergeCell ref="AY58:AY59"/>
    <mergeCell ref="AZ58:AZ59"/>
    <mergeCell ref="AZ53:AZ54"/>
    <mergeCell ref="BA53:BA54"/>
    <mergeCell ref="BB53:BB54"/>
    <mergeCell ref="BC53:BC54"/>
    <mergeCell ref="BN53:BN54"/>
    <mergeCell ref="BO53:BO54"/>
    <mergeCell ref="BP53:BP54"/>
    <mergeCell ref="BQ53:BQ54"/>
    <mergeCell ref="BR53:BR54"/>
    <mergeCell ref="BT58:BT59"/>
    <mergeCell ref="BU58:BU59"/>
    <mergeCell ref="BV58:BV59"/>
    <mergeCell ref="BW58:BW59"/>
    <mergeCell ref="BX58:BX59"/>
    <mergeCell ref="BY58:BY59"/>
    <mergeCell ref="BB58:BB59"/>
    <mergeCell ref="BC58:BC59"/>
    <mergeCell ref="BN58:BN59"/>
    <mergeCell ref="BO58:BO59"/>
    <mergeCell ref="BP58:BP59"/>
    <mergeCell ref="BQ58:BQ59"/>
    <mergeCell ref="BR58:BR59"/>
    <mergeCell ref="BS58:BS59"/>
    <mergeCell ref="J58:J59"/>
    <mergeCell ref="K58:K59"/>
    <mergeCell ref="P58:P59"/>
    <mergeCell ref="Q58:Q59"/>
    <mergeCell ref="R58:R59"/>
    <mergeCell ref="S58:S59"/>
    <mergeCell ref="T58:T59"/>
    <mergeCell ref="U58:U59"/>
    <mergeCell ref="V58:V59"/>
    <mergeCell ref="W58:W59"/>
    <mergeCell ref="X58:X59"/>
    <mergeCell ref="Y58:Y59"/>
    <mergeCell ref="AA58:AA59"/>
    <mergeCell ref="AB58:AB59"/>
    <mergeCell ref="AG58:AG59"/>
    <mergeCell ref="AH58:AH59"/>
    <mergeCell ref="AN58:AN59"/>
    <mergeCell ref="AO58:AO59"/>
    <mergeCell ref="AP58:AP59"/>
    <mergeCell ref="AQ58:AQ59"/>
    <mergeCell ref="AR58:AR59"/>
    <mergeCell ref="BA58:BA59"/>
    <mergeCell ref="AE58:AE59"/>
    <mergeCell ref="AF58:AF59"/>
    <mergeCell ref="BR63:BR69"/>
    <mergeCell ref="BS63:BS69"/>
    <mergeCell ref="BT63:BT69"/>
    <mergeCell ref="BU63:BU69"/>
    <mergeCell ref="BV63:BV69"/>
    <mergeCell ref="BW63:BW69"/>
    <mergeCell ref="BX63:BX69"/>
    <mergeCell ref="BY63:BY69"/>
    <mergeCell ref="CA58:CA59"/>
    <mergeCell ref="CA63:CA69"/>
    <mergeCell ref="CB63:CB69"/>
    <mergeCell ref="CC63:CC69"/>
    <mergeCell ref="BZ58:BZ59"/>
    <mergeCell ref="BN63:BN69"/>
    <mergeCell ref="BO63:BO69"/>
    <mergeCell ref="BP63:BP69"/>
    <mergeCell ref="BQ63:BQ69"/>
    <mergeCell ref="CB60:CB61"/>
    <mergeCell ref="J63:J69"/>
    <mergeCell ref="AR63:AR69"/>
    <mergeCell ref="AS63:AS69"/>
    <mergeCell ref="AT63:AT69"/>
    <mergeCell ref="AU63:AU69"/>
    <mergeCell ref="AV63:AV69"/>
    <mergeCell ref="AW63:AW69"/>
    <mergeCell ref="AX63:AX69"/>
    <mergeCell ref="AY63:AY69"/>
    <mergeCell ref="AZ63:AZ69"/>
    <mergeCell ref="BA63:BA69"/>
    <mergeCell ref="BB63:BB69"/>
    <mergeCell ref="BC63:BC69"/>
    <mergeCell ref="AL63:AL67"/>
    <mergeCell ref="K63:K67"/>
    <mergeCell ref="AO63:AO67"/>
    <mergeCell ref="AP63:AP67"/>
    <mergeCell ref="AQ63:AQ67"/>
    <mergeCell ref="A71:A74"/>
    <mergeCell ref="J71:J74"/>
    <mergeCell ref="K71:K74"/>
    <mergeCell ref="P71:P74"/>
    <mergeCell ref="Q71:Q74"/>
    <mergeCell ref="R71:R74"/>
    <mergeCell ref="S71:S74"/>
    <mergeCell ref="T71:T74"/>
    <mergeCell ref="AO71:AO74"/>
    <mergeCell ref="AP71:AP74"/>
    <mergeCell ref="AQ71:AQ74"/>
    <mergeCell ref="AR71:AR74"/>
    <mergeCell ref="AS71:AS74"/>
    <mergeCell ref="AT71:AT74"/>
    <mergeCell ref="AU71:AU74"/>
    <mergeCell ref="AV71:AV74"/>
    <mergeCell ref="AW71:AW74"/>
    <mergeCell ref="AX71:AX74"/>
    <mergeCell ref="AY71:AY74"/>
    <mergeCell ref="AZ71:AZ74"/>
    <mergeCell ref="BA71:BA74"/>
    <mergeCell ref="BB71:BB74"/>
    <mergeCell ref="BC71:BC74"/>
    <mergeCell ref="BN71:BN74"/>
    <mergeCell ref="BO71:BO74"/>
    <mergeCell ref="BZ71:BZ74"/>
    <mergeCell ref="CA71:CA74"/>
    <mergeCell ref="CB71:CB74"/>
    <mergeCell ref="CC71:CC74"/>
    <mergeCell ref="L79:L80"/>
    <mergeCell ref="M79:M80"/>
    <mergeCell ref="N79:N80"/>
    <mergeCell ref="O79:O80"/>
    <mergeCell ref="P79:P80"/>
    <mergeCell ref="Q79:Q80"/>
    <mergeCell ref="R79:R80"/>
    <mergeCell ref="S79:S80"/>
    <mergeCell ref="T79:T80"/>
    <mergeCell ref="AO79:AO80"/>
    <mergeCell ref="AP79:AP80"/>
    <mergeCell ref="AQ79:AQ80"/>
    <mergeCell ref="AR79:AR80"/>
    <mergeCell ref="AS79:AS80"/>
    <mergeCell ref="AT79:AT80"/>
    <mergeCell ref="AU79:AU80"/>
    <mergeCell ref="AV79:AV80"/>
    <mergeCell ref="AW79:AW80"/>
    <mergeCell ref="AY79:AY80"/>
    <mergeCell ref="AZ79:AZ80"/>
    <mergeCell ref="BP71:BP74"/>
    <mergeCell ref="BQ71:BQ74"/>
    <mergeCell ref="BR71:BR74"/>
    <mergeCell ref="BS71:BS74"/>
    <mergeCell ref="BT71:BT74"/>
    <mergeCell ref="BU71:BU74"/>
    <mergeCell ref="BV71:BV74"/>
    <mergeCell ref="BW71:BW74"/>
    <mergeCell ref="BX71:BX74"/>
    <mergeCell ref="BD71:BD74"/>
    <mergeCell ref="BE71:BE74"/>
    <mergeCell ref="BF71:BF74"/>
    <mergeCell ref="BG71:BG74"/>
    <mergeCell ref="BD79:BD80"/>
    <mergeCell ref="BE79:BE80"/>
    <mergeCell ref="BF79:BF80"/>
    <mergeCell ref="BG79:BG80"/>
    <mergeCell ref="BH71:BH74"/>
    <mergeCell ref="BI71:BI74"/>
    <mergeCell ref="A82:A83"/>
    <mergeCell ref="P82:P83"/>
    <mergeCell ref="Q82:Q83"/>
    <mergeCell ref="R82:R83"/>
    <mergeCell ref="S82:S83"/>
    <mergeCell ref="T82:T83"/>
    <mergeCell ref="AO82:AO83"/>
    <mergeCell ref="AP82:AP83"/>
    <mergeCell ref="AQ82:AQ83"/>
    <mergeCell ref="AR82:AR83"/>
    <mergeCell ref="AS82:AS83"/>
    <mergeCell ref="AT82:AT83"/>
    <mergeCell ref="AU82:AU83"/>
    <mergeCell ref="AV82:AV83"/>
    <mergeCell ref="AW82:AW83"/>
    <mergeCell ref="AX82:AX83"/>
    <mergeCell ref="AY82:AY83"/>
    <mergeCell ref="CB82:CB83"/>
    <mergeCell ref="CC82:CC83"/>
    <mergeCell ref="K79:K86"/>
    <mergeCell ref="K88:K90"/>
    <mergeCell ref="P88:P90"/>
    <mergeCell ref="Q88:Q90"/>
    <mergeCell ref="R88:R90"/>
    <mergeCell ref="S88:S90"/>
    <mergeCell ref="T88:T90"/>
    <mergeCell ref="AO88:AO90"/>
    <mergeCell ref="AP88:AP90"/>
    <mergeCell ref="AQ88:AQ90"/>
    <mergeCell ref="AR88:AR90"/>
    <mergeCell ref="AS88:AS90"/>
    <mergeCell ref="AT88:AT90"/>
    <mergeCell ref="AU88:AU90"/>
    <mergeCell ref="AV88:AV90"/>
    <mergeCell ref="AW88:AW90"/>
    <mergeCell ref="AX88:AX90"/>
    <mergeCell ref="BB79:BB80"/>
    <mergeCell ref="BC79:BC80"/>
    <mergeCell ref="BN79:BN80"/>
    <mergeCell ref="BO79:BO80"/>
    <mergeCell ref="BP79:BP80"/>
    <mergeCell ref="BQ79:BQ80"/>
    <mergeCell ref="BR79:BR80"/>
    <mergeCell ref="BS79:BS80"/>
    <mergeCell ref="BT79:BT80"/>
    <mergeCell ref="BU79:BU80"/>
    <mergeCell ref="BV79:BV80"/>
    <mergeCell ref="BW79:BW80"/>
    <mergeCell ref="BX79:BX80"/>
    <mergeCell ref="CA88:CA90"/>
    <mergeCell ref="CB88:CB90"/>
    <mergeCell ref="CC88:CC90"/>
    <mergeCell ref="AL82:AL83"/>
    <mergeCell ref="BN88:BN90"/>
    <mergeCell ref="BO88:BO90"/>
    <mergeCell ref="BP88:BP90"/>
    <mergeCell ref="BQ88:BQ90"/>
    <mergeCell ref="P91:P92"/>
    <mergeCell ref="Q91:Q92"/>
    <mergeCell ref="R91:R92"/>
    <mergeCell ref="S91:S92"/>
    <mergeCell ref="T91:T92"/>
    <mergeCell ref="AO91:AO92"/>
    <mergeCell ref="AP91:AP92"/>
    <mergeCell ref="AQ91:AQ92"/>
    <mergeCell ref="AR91:AR92"/>
    <mergeCell ref="AS91:AS92"/>
    <mergeCell ref="AT91:AT92"/>
    <mergeCell ref="AU91:AU92"/>
    <mergeCell ref="AV91:AV92"/>
    <mergeCell ref="AW91:AW92"/>
    <mergeCell ref="AX91:AX92"/>
    <mergeCell ref="AY91:AY92"/>
    <mergeCell ref="BV91:BV92"/>
    <mergeCell ref="AL91:AL92"/>
    <mergeCell ref="BS82:BS83"/>
    <mergeCell ref="AZ82:AZ83"/>
    <mergeCell ref="BA82:BA83"/>
    <mergeCell ref="BB82:BB83"/>
    <mergeCell ref="BC82:BC83"/>
    <mergeCell ref="BN82:BN83"/>
    <mergeCell ref="BY79:BY80"/>
    <mergeCell ref="BO82:BO83"/>
    <mergeCell ref="BP82:BP83"/>
    <mergeCell ref="BQ82:BQ83"/>
    <mergeCell ref="BR82:BR83"/>
    <mergeCell ref="BA79:BA80"/>
    <mergeCell ref="BT82:BT83"/>
    <mergeCell ref="BU82:BU83"/>
    <mergeCell ref="BV82:BV83"/>
    <mergeCell ref="BI88:BI90"/>
    <mergeCell ref="BJ88:BJ90"/>
    <mergeCell ref="BK88:BK90"/>
    <mergeCell ref="BL88:BL90"/>
    <mergeCell ref="BM88:BM90"/>
    <mergeCell ref="BU88:BU90"/>
    <mergeCell ref="BV88:BV90"/>
    <mergeCell ref="BL91:BL92"/>
    <mergeCell ref="BM91:BM92"/>
    <mergeCell ref="BH88:BH90"/>
    <mergeCell ref="BW88:BW90"/>
    <mergeCell ref="BX88:BX90"/>
    <mergeCell ref="BY88:BY90"/>
    <mergeCell ref="J95:J104"/>
    <mergeCell ref="P100:P101"/>
    <mergeCell ref="Q100:Q101"/>
    <mergeCell ref="BS88:BS90"/>
    <mergeCell ref="BT88:BT90"/>
    <mergeCell ref="AZ91:AZ92"/>
    <mergeCell ref="BA91:BA92"/>
    <mergeCell ref="BB91:BB92"/>
    <mergeCell ref="BC91:BC92"/>
    <mergeCell ref="BN91:BN92"/>
    <mergeCell ref="BO91:BO92"/>
    <mergeCell ref="BP91:BP92"/>
    <mergeCell ref="BQ91:BQ92"/>
    <mergeCell ref="BR91:BR92"/>
    <mergeCell ref="BS91:BS92"/>
    <mergeCell ref="BT91:BT92"/>
    <mergeCell ref="AM88:AM90"/>
    <mergeCell ref="BF98:BF99"/>
    <mergeCell ref="BG98:BG99"/>
    <mergeCell ref="BR88:BR90"/>
    <mergeCell ref="AR100:AR101"/>
    <mergeCell ref="AS100:AS101"/>
    <mergeCell ref="AT100:AT101"/>
    <mergeCell ref="AU100:AU101"/>
    <mergeCell ref="AV100:AV101"/>
    <mergeCell ref="AW100:AW101"/>
    <mergeCell ref="AX100:AX101"/>
    <mergeCell ref="AY100:AY101"/>
    <mergeCell ref="AZ100:AZ101"/>
    <mergeCell ref="AY88:AY90"/>
    <mergeCell ref="AZ88:AZ90"/>
    <mergeCell ref="BA88:BA90"/>
    <mergeCell ref="BW100:BW101"/>
    <mergeCell ref="BX100:BX101"/>
    <mergeCell ref="BY100:BY101"/>
    <mergeCell ref="BD100:BD101"/>
    <mergeCell ref="BE100:BE101"/>
    <mergeCell ref="BF100:BF101"/>
    <mergeCell ref="BG100:BG101"/>
    <mergeCell ref="BC88:BC90"/>
    <mergeCell ref="BH98:BH99"/>
    <mergeCell ref="BA98:BA99"/>
    <mergeCell ref="BB98:BB99"/>
    <mergeCell ref="BC98:BC99"/>
    <mergeCell ref="BN98:BN99"/>
    <mergeCell ref="BI91:BI92"/>
    <mergeCell ref="BJ91:BJ92"/>
    <mergeCell ref="BK91:BK92"/>
    <mergeCell ref="BP98:BP99"/>
    <mergeCell ref="BQ98:BQ99"/>
    <mergeCell ref="BU91:BU92"/>
    <mergeCell ref="BB88:BB90"/>
    <mergeCell ref="J107:J112"/>
    <mergeCell ref="K107:K112"/>
    <mergeCell ref="AO107:AO112"/>
    <mergeCell ref="AP107:AP112"/>
    <mergeCell ref="AQ107:AQ112"/>
    <mergeCell ref="AR107:AR112"/>
    <mergeCell ref="AS107:AS112"/>
    <mergeCell ref="AT107:AT112"/>
    <mergeCell ref="AU107:AU112"/>
    <mergeCell ref="AV107:AV112"/>
    <mergeCell ref="AW107:AW112"/>
    <mergeCell ref="AX107:AX112"/>
    <mergeCell ref="AL100:AL101"/>
    <mergeCell ref="CA91:CA92"/>
    <mergeCell ref="CB91:CB92"/>
    <mergeCell ref="CC91:CC92"/>
    <mergeCell ref="J88:J93"/>
    <mergeCell ref="K91:K93"/>
    <mergeCell ref="P98:P99"/>
    <mergeCell ref="Q98:Q99"/>
    <mergeCell ref="R98:R99"/>
    <mergeCell ref="S98:S99"/>
    <mergeCell ref="T98:T99"/>
    <mergeCell ref="AO98:AO99"/>
    <mergeCell ref="AP98:AP99"/>
    <mergeCell ref="AQ98:AQ99"/>
    <mergeCell ref="AR98:AR99"/>
    <mergeCell ref="AS98:AS99"/>
    <mergeCell ref="AT98:AT99"/>
    <mergeCell ref="AU98:AU99"/>
    <mergeCell ref="AV98:AV99"/>
    <mergeCell ref="AW98:AW99"/>
    <mergeCell ref="CA98:CA99"/>
    <mergeCell ref="CB98:CB99"/>
    <mergeCell ref="CC98:CC99"/>
    <mergeCell ref="K100:K101"/>
    <mergeCell ref="BP107:BP112"/>
    <mergeCell ref="BQ107:BQ112"/>
    <mergeCell ref="BR107:BR112"/>
    <mergeCell ref="BS107:BS112"/>
    <mergeCell ref="BT107:BT112"/>
    <mergeCell ref="BU107:BU112"/>
    <mergeCell ref="BV107:BV112"/>
    <mergeCell ref="BW107:BW112"/>
    <mergeCell ref="BX107:BX112"/>
    <mergeCell ref="BY107:BY112"/>
    <mergeCell ref="BP100:BP101"/>
    <mergeCell ref="BQ100:BQ101"/>
    <mergeCell ref="BR100:BR101"/>
    <mergeCell ref="BS100:BS101"/>
    <mergeCell ref="BT100:BT101"/>
    <mergeCell ref="BU100:BU101"/>
    <mergeCell ref="P107:P109"/>
    <mergeCell ref="Q107:Q109"/>
    <mergeCell ref="R107:R109"/>
    <mergeCell ref="S107:S109"/>
    <mergeCell ref="T107:T109"/>
    <mergeCell ref="AX98:AX99"/>
    <mergeCell ref="AY98:AY99"/>
    <mergeCell ref="AZ98:AZ99"/>
    <mergeCell ref="BM98:BM99"/>
    <mergeCell ref="BA100:BA101"/>
    <mergeCell ref="BB100:BB101"/>
    <mergeCell ref="BC100:BC101"/>
    <mergeCell ref="BS120:BS121"/>
    <mergeCell ref="BT120:BT121"/>
    <mergeCell ref="BU120:BU121"/>
    <mergeCell ref="BV120:BV121"/>
    <mergeCell ref="BW120:BW121"/>
    <mergeCell ref="BX120:BX121"/>
    <mergeCell ref="BY120:BY121"/>
    <mergeCell ref="BZ120:BZ121"/>
    <mergeCell ref="BC119:BC126"/>
    <mergeCell ref="R100:R101"/>
    <mergeCell ref="S100:S101"/>
    <mergeCell ref="T100:T101"/>
    <mergeCell ref="AO100:AO101"/>
    <mergeCell ref="AP100:AP101"/>
    <mergeCell ref="AQ100:AQ101"/>
    <mergeCell ref="BU98:BU99"/>
    <mergeCell ref="BV98:BV99"/>
    <mergeCell ref="BW98:BW99"/>
    <mergeCell ref="BX98:BX99"/>
    <mergeCell ref="BY98:BY99"/>
    <mergeCell ref="BZ98:BZ99"/>
    <mergeCell ref="BN100:BN101"/>
    <mergeCell ref="BO100:BO101"/>
    <mergeCell ref="BI98:BI99"/>
    <mergeCell ref="BJ98:BJ99"/>
    <mergeCell ref="BK98:BK99"/>
    <mergeCell ref="BL98:BL99"/>
    <mergeCell ref="BO98:BO99"/>
    <mergeCell ref="BR98:BR99"/>
    <mergeCell ref="BS98:BS99"/>
    <mergeCell ref="BT98:BT99"/>
    <mergeCell ref="BV100:BV101"/>
    <mergeCell ref="BW124:BW125"/>
    <mergeCell ref="BE119:BE126"/>
    <mergeCell ref="BF119:BF126"/>
    <mergeCell ref="BG119:BG126"/>
    <mergeCell ref="AY107:AY112"/>
    <mergeCell ref="AZ107:AZ112"/>
    <mergeCell ref="BA107:BA112"/>
    <mergeCell ref="BB107:BB112"/>
    <mergeCell ref="BC107:BC112"/>
    <mergeCell ref="BN107:BN112"/>
    <mergeCell ref="BO107:BO112"/>
    <mergeCell ref="BN124:BN125"/>
    <mergeCell ref="BX124:BX125"/>
    <mergeCell ref="BY124:BY125"/>
    <mergeCell ref="BZ124:BZ125"/>
    <mergeCell ref="P118:P126"/>
    <mergeCell ref="Q118:Q126"/>
    <mergeCell ref="R118:R126"/>
    <mergeCell ref="S118:S126"/>
    <mergeCell ref="T118:T126"/>
    <mergeCell ref="AR119:AR126"/>
    <mergeCell ref="AS119:AS126"/>
    <mergeCell ref="AT119:AT126"/>
    <mergeCell ref="AU119:AU126"/>
    <mergeCell ref="AV119:AV126"/>
    <mergeCell ref="AW119:AW126"/>
    <mergeCell ref="AX119:AX126"/>
    <mergeCell ref="AY119:AY126"/>
    <mergeCell ref="AZ119:AZ126"/>
    <mergeCell ref="BA119:BA126"/>
    <mergeCell ref="BB119:BB126"/>
    <mergeCell ref="BR120:BR121"/>
    <mergeCell ref="AW127:AW129"/>
    <mergeCell ref="AX127:AX129"/>
    <mergeCell ref="AY127:AY129"/>
    <mergeCell ref="AZ127:AZ129"/>
    <mergeCell ref="AM127:AM129"/>
    <mergeCell ref="BA127:BA129"/>
    <mergeCell ref="BB127:BB129"/>
    <mergeCell ref="BC127:BC129"/>
    <mergeCell ref="BN127:BN129"/>
    <mergeCell ref="BO127:BO129"/>
    <mergeCell ref="BT127:BT129"/>
    <mergeCell ref="BU127:BU129"/>
    <mergeCell ref="BV127:BV129"/>
    <mergeCell ref="BO124:BO125"/>
    <mergeCell ref="BP124:BP125"/>
    <mergeCell ref="BQ124:BQ125"/>
    <mergeCell ref="BR124:BR125"/>
    <mergeCell ref="BS124:BS125"/>
    <mergeCell ref="BT124:BT125"/>
    <mergeCell ref="BU124:BU125"/>
    <mergeCell ref="BV124:BV125"/>
    <mergeCell ref="BJ119:BJ126"/>
    <mergeCell ref="BK119:BK126"/>
    <mergeCell ref="BD119:BD126"/>
    <mergeCell ref="AN120:AN121"/>
    <mergeCell ref="AO120:AO121"/>
    <mergeCell ref="AP120:AP121"/>
    <mergeCell ref="AQ120:AQ121"/>
    <mergeCell ref="BN120:BN121"/>
    <mergeCell ref="BO120:BO121"/>
    <mergeCell ref="BP120:BP121"/>
    <mergeCell ref="BQ120:BQ121"/>
    <mergeCell ref="K116:K130"/>
    <mergeCell ref="A138:A139"/>
    <mergeCell ref="J135:J139"/>
    <mergeCell ref="K135:K139"/>
    <mergeCell ref="P138:P139"/>
    <mergeCell ref="Q138:Q139"/>
    <mergeCell ref="R138:R139"/>
    <mergeCell ref="S138:S139"/>
    <mergeCell ref="T138:T139"/>
    <mergeCell ref="AO138:AO139"/>
    <mergeCell ref="AP138:AP139"/>
    <mergeCell ref="AQ138:AQ139"/>
    <mergeCell ref="AR135:AR139"/>
    <mergeCell ref="AS135:AS139"/>
    <mergeCell ref="AT135:AT139"/>
    <mergeCell ref="AU135:AU139"/>
    <mergeCell ref="AV135:AV139"/>
    <mergeCell ref="P127:P129"/>
    <mergeCell ref="Q127:Q129"/>
    <mergeCell ref="R127:R129"/>
    <mergeCell ref="S127:S129"/>
    <mergeCell ref="T127:T129"/>
    <mergeCell ref="AO127:AO129"/>
    <mergeCell ref="AP127:AP129"/>
    <mergeCell ref="AQ127:AQ129"/>
    <mergeCell ref="AR127:AR129"/>
    <mergeCell ref="AS127:AS129"/>
    <mergeCell ref="AT127:AT129"/>
    <mergeCell ref="AU127:AU129"/>
    <mergeCell ref="AV127:AV129"/>
    <mergeCell ref="AM119:AM126"/>
    <mergeCell ref="BW127:BW129"/>
    <mergeCell ref="BX127:BX129"/>
    <mergeCell ref="BY127:BY129"/>
    <mergeCell ref="BZ127:BZ129"/>
    <mergeCell ref="BN138:BN139"/>
    <mergeCell ref="BO138:BO139"/>
    <mergeCell ref="BP138:BP139"/>
    <mergeCell ref="CA127:CA129"/>
    <mergeCell ref="BD127:BD129"/>
    <mergeCell ref="BE127:BE129"/>
    <mergeCell ref="BF127:BF129"/>
    <mergeCell ref="BG127:BG129"/>
    <mergeCell ref="BR138:BR139"/>
    <mergeCell ref="BS138:BS139"/>
    <mergeCell ref="BH145:BH147"/>
    <mergeCell ref="BI145:BI147"/>
    <mergeCell ref="BJ145:BJ147"/>
    <mergeCell ref="BK145:BK147"/>
    <mergeCell ref="BL145:BL147"/>
    <mergeCell ref="BM145:BM147"/>
    <mergeCell ref="BE145:BE147"/>
    <mergeCell ref="BF145:BF147"/>
    <mergeCell ref="BG145:BG147"/>
    <mergeCell ref="BP127:BP129"/>
    <mergeCell ref="BQ127:BQ129"/>
    <mergeCell ref="BR127:BR129"/>
    <mergeCell ref="BS127:BS129"/>
    <mergeCell ref="BZ138:BZ139"/>
    <mergeCell ref="BI138:BI139"/>
    <mergeCell ref="BJ138:BJ139"/>
    <mergeCell ref="BK138:BK139"/>
    <mergeCell ref="BL127:BL129"/>
    <mergeCell ref="CA135:CA139"/>
    <mergeCell ref="CB135:CB139"/>
    <mergeCell ref="CC135:CC139"/>
    <mergeCell ref="J141:J143"/>
    <mergeCell ref="K141:K143"/>
    <mergeCell ref="AR141:AR143"/>
    <mergeCell ref="AS141:AS143"/>
    <mergeCell ref="AT141:AT143"/>
    <mergeCell ref="AU141:AU143"/>
    <mergeCell ref="AV141:AV143"/>
    <mergeCell ref="AW141:AW143"/>
    <mergeCell ref="AX141:AX143"/>
    <mergeCell ref="AY141:AY143"/>
    <mergeCell ref="AZ141:AZ143"/>
    <mergeCell ref="BA141:BA143"/>
    <mergeCell ref="BB141:BB143"/>
    <mergeCell ref="BC141:BC143"/>
    <mergeCell ref="CA141:CA143"/>
    <mergeCell ref="CB141:CB143"/>
    <mergeCell ref="CC141:CC143"/>
    <mergeCell ref="BD138:BD139"/>
    <mergeCell ref="BE138:BE139"/>
    <mergeCell ref="BF138:BF139"/>
    <mergeCell ref="BG138:BG139"/>
    <mergeCell ref="BH138:BH139"/>
    <mergeCell ref="AX135:AX139"/>
    <mergeCell ref="AY135:AY139"/>
    <mergeCell ref="AZ135:AZ139"/>
    <mergeCell ref="BA135:BA139"/>
    <mergeCell ref="BB135:BB139"/>
    <mergeCell ref="AW135:AW139"/>
    <mergeCell ref="BC135:BC139"/>
    <mergeCell ref="BQ138:BQ139"/>
    <mergeCell ref="A145:A147"/>
    <mergeCell ref="J145:J147"/>
    <mergeCell ref="K145:K147"/>
    <mergeCell ref="P145:P147"/>
    <mergeCell ref="Q145:Q147"/>
    <mergeCell ref="R145:R147"/>
    <mergeCell ref="S145:S147"/>
    <mergeCell ref="T145:T147"/>
    <mergeCell ref="AO145:AO147"/>
    <mergeCell ref="AP145:AP147"/>
    <mergeCell ref="AQ145:AQ147"/>
    <mergeCell ref="AR145:AR147"/>
    <mergeCell ref="AS145:AS147"/>
    <mergeCell ref="AT145:AT147"/>
    <mergeCell ref="AU145:AU147"/>
    <mergeCell ref="AV145:AV147"/>
    <mergeCell ref="BD145:BD147"/>
    <mergeCell ref="BL138:BL139"/>
    <mergeCell ref="BM138:BM139"/>
    <mergeCell ref="CB145:CB147"/>
    <mergeCell ref="CC145:CC147"/>
    <mergeCell ref="J149:J151"/>
    <mergeCell ref="K149:K151"/>
    <mergeCell ref="AO149:AO151"/>
    <mergeCell ref="AP149:AP151"/>
    <mergeCell ref="AQ149:AQ151"/>
    <mergeCell ref="AR149:AR151"/>
    <mergeCell ref="AS149:AS151"/>
    <mergeCell ref="AT149:AT151"/>
    <mergeCell ref="AU149:AU151"/>
    <mergeCell ref="AV149:AV151"/>
    <mergeCell ref="AW149:AW151"/>
    <mergeCell ref="AX149:AX151"/>
    <mergeCell ref="AY149:AY151"/>
    <mergeCell ref="AZ149:AZ151"/>
    <mergeCell ref="BA149:BA151"/>
    <mergeCell ref="BB149:BB151"/>
    <mergeCell ref="BC149:BC151"/>
    <mergeCell ref="BN149:BN151"/>
    <mergeCell ref="BO149:BO151"/>
    <mergeCell ref="BP149:BP151"/>
    <mergeCell ref="BQ149:BQ151"/>
    <mergeCell ref="AY145:AY147"/>
    <mergeCell ref="AZ145:AZ147"/>
    <mergeCell ref="BA145:BA147"/>
    <mergeCell ref="BB145:BB147"/>
    <mergeCell ref="BC145:BC147"/>
    <mergeCell ref="BN145:BN147"/>
    <mergeCell ref="BO145:BO147"/>
    <mergeCell ref="BP145:BP147"/>
    <mergeCell ref="CB149:CB151"/>
    <mergeCell ref="CC149:CC151"/>
    <mergeCell ref="J155:J156"/>
    <mergeCell ref="K155:K156"/>
    <mergeCell ref="AR155:AR156"/>
    <mergeCell ref="AS155:AS156"/>
    <mergeCell ref="AT155:AT156"/>
    <mergeCell ref="AU155:AU156"/>
    <mergeCell ref="AV155:AV156"/>
    <mergeCell ref="AW155:AW156"/>
    <mergeCell ref="AX155:AX156"/>
    <mergeCell ref="AY155:AY156"/>
    <mergeCell ref="AZ155:AZ156"/>
    <mergeCell ref="BA155:BA156"/>
    <mergeCell ref="BB155:BB156"/>
    <mergeCell ref="BC155:BC156"/>
    <mergeCell ref="CA155:CA156"/>
    <mergeCell ref="CB155:CB156"/>
    <mergeCell ref="CC155:CC156"/>
    <mergeCell ref="BR149:BR151"/>
    <mergeCell ref="BS149:BS151"/>
    <mergeCell ref="BT149:BT151"/>
    <mergeCell ref="BU149:BU151"/>
    <mergeCell ref="BV149:BV151"/>
    <mergeCell ref="BW149:BW151"/>
    <mergeCell ref="BX149:BX151"/>
    <mergeCell ref="BY149:BY151"/>
    <mergeCell ref="BD149:BD151"/>
    <mergeCell ref="BE149:BE151"/>
    <mergeCell ref="BF149:BF151"/>
    <mergeCell ref="BG149:BG151"/>
    <mergeCell ref="BH149:BH151"/>
    <mergeCell ref="BZ149:BZ151"/>
    <mergeCell ref="BS163:BS165"/>
    <mergeCell ref="AY158:AY161"/>
    <mergeCell ref="AZ158:AZ161"/>
    <mergeCell ref="J158:J161"/>
    <mergeCell ref="K158:K161"/>
    <mergeCell ref="P158:P161"/>
    <mergeCell ref="Q158:Q161"/>
    <mergeCell ref="R158:R161"/>
    <mergeCell ref="S158:S161"/>
    <mergeCell ref="T158:T161"/>
    <mergeCell ref="AO158:AO161"/>
    <mergeCell ref="AP158:AP161"/>
    <mergeCell ref="AQ158:AQ161"/>
    <mergeCell ref="AR158:AR161"/>
    <mergeCell ref="AS158:AS161"/>
    <mergeCell ref="AT158:AT161"/>
    <mergeCell ref="AU158:AU161"/>
    <mergeCell ref="AV158:AV161"/>
    <mergeCell ref="AW158:AW161"/>
    <mergeCell ref="AX158:AX161"/>
    <mergeCell ref="AL158:AL161"/>
    <mergeCell ref="AM158:AM161"/>
    <mergeCell ref="BQ158:BQ161"/>
    <mergeCell ref="BR158:BR161"/>
    <mergeCell ref="BS158:BS161"/>
    <mergeCell ref="BD158:BD161"/>
    <mergeCell ref="BE158:BE161"/>
    <mergeCell ref="BF158:BF161"/>
    <mergeCell ref="BG158:BG161"/>
    <mergeCell ref="BH163:BH165"/>
    <mergeCell ref="BI163:BI165"/>
    <mergeCell ref="BD163:BD165"/>
    <mergeCell ref="AU172:AU177"/>
    <mergeCell ref="AV172:AV177"/>
    <mergeCell ref="AW172:AW177"/>
    <mergeCell ref="CB158:CB161"/>
    <mergeCell ref="CC158:CC161"/>
    <mergeCell ref="J163:J165"/>
    <mergeCell ref="K163:K165"/>
    <mergeCell ref="P163:P165"/>
    <mergeCell ref="Q163:Q165"/>
    <mergeCell ref="R163:R165"/>
    <mergeCell ref="S163:S165"/>
    <mergeCell ref="T163:T165"/>
    <mergeCell ref="AO163:AO165"/>
    <mergeCell ref="AP163:AP165"/>
    <mergeCell ref="AQ163:AQ165"/>
    <mergeCell ref="AR163:AR165"/>
    <mergeCell ref="AS163:AS165"/>
    <mergeCell ref="AT163:AT165"/>
    <mergeCell ref="AU163:AU165"/>
    <mergeCell ref="AV163:AV165"/>
    <mergeCell ref="AW163:AW165"/>
    <mergeCell ref="AX163:AX165"/>
    <mergeCell ref="AY163:AY165"/>
    <mergeCell ref="AZ163:AZ165"/>
    <mergeCell ref="BA163:BA165"/>
    <mergeCell ref="BB163:BB165"/>
    <mergeCell ref="BC163:BC165"/>
    <mergeCell ref="BN163:BN165"/>
    <mergeCell ref="BO163:BO165"/>
    <mergeCell ref="BP163:BP165"/>
    <mergeCell ref="BQ163:BQ165"/>
    <mergeCell ref="BR163:BR165"/>
    <mergeCell ref="CB163:CB165"/>
    <mergeCell ref="BV163:BV165"/>
    <mergeCell ref="BW163:BW165"/>
    <mergeCell ref="BX163:BX165"/>
    <mergeCell ref="BY163:BY165"/>
    <mergeCell ref="BZ163:BZ165"/>
    <mergeCell ref="CA163:CA165"/>
    <mergeCell ref="CC163:CC165"/>
    <mergeCell ref="J167:J169"/>
    <mergeCell ref="K167:K169"/>
    <mergeCell ref="A172:A173"/>
    <mergeCell ref="P172:P173"/>
    <mergeCell ref="Q172:Q173"/>
    <mergeCell ref="R172:R173"/>
    <mergeCell ref="S172:S173"/>
    <mergeCell ref="T172:T173"/>
    <mergeCell ref="AO172:AO173"/>
    <mergeCell ref="AP172:AP173"/>
    <mergeCell ref="AQ172:AQ173"/>
    <mergeCell ref="BN172:BN173"/>
    <mergeCell ref="BO172:BO173"/>
    <mergeCell ref="BP172:BP173"/>
    <mergeCell ref="BQ172:BQ173"/>
    <mergeCell ref="BR172:BR173"/>
    <mergeCell ref="BS172:BS173"/>
    <mergeCell ref="BT172:BT173"/>
    <mergeCell ref="BU172:BU173"/>
    <mergeCell ref="BV172:BV173"/>
    <mergeCell ref="BW172:BW173"/>
    <mergeCell ref="AL163:AL165"/>
    <mergeCell ref="J172:J177"/>
    <mergeCell ref="K172:K177"/>
    <mergeCell ref="V196:X196"/>
    <mergeCell ref="AY185:AY188"/>
    <mergeCell ref="AC185:AC192"/>
    <mergeCell ref="AF185:AF192"/>
    <mergeCell ref="BD185:BD188"/>
    <mergeCell ref="BE185:BE188"/>
    <mergeCell ref="BF185:BF188"/>
    <mergeCell ref="BG185:BG188"/>
    <mergeCell ref="A179:A182"/>
    <mergeCell ref="J179:J182"/>
    <mergeCell ref="K179:K182"/>
    <mergeCell ref="AO179:AO182"/>
    <mergeCell ref="AP179:AP182"/>
    <mergeCell ref="AQ179:AQ182"/>
    <mergeCell ref="AR179:AR182"/>
    <mergeCell ref="AS179:AS182"/>
    <mergeCell ref="AT179:AT182"/>
    <mergeCell ref="AU179:AU182"/>
    <mergeCell ref="AV179:AV182"/>
    <mergeCell ref="AW179:AW182"/>
    <mergeCell ref="A185:A188"/>
    <mergeCell ref="P185:P188"/>
    <mergeCell ref="Q185:Q188"/>
    <mergeCell ref="R185:R188"/>
    <mergeCell ref="S185:S188"/>
    <mergeCell ref="T185:T188"/>
    <mergeCell ref="AO185:AO188"/>
    <mergeCell ref="AP185:AP188"/>
    <mergeCell ref="AQ185:AQ188"/>
    <mergeCell ref="AR185:AR188"/>
    <mergeCell ref="AS185:AS188"/>
    <mergeCell ref="BJ179:BJ182"/>
    <mergeCell ref="BK179:BK182"/>
    <mergeCell ref="CC185:CC188"/>
    <mergeCell ref="K185:K192"/>
    <mergeCell ref="U185:U192"/>
    <mergeCell ref="V185:V192"/>
    <mergeCell ref="W185:W192"/>
    <mergeCell ref="X185:X192"/>
    <mergeCell ref="AA185:AA192"/>
    <mergeCell ref="AB185:AB192"/>
    <mergeCell ref="AG185:AG192"/>
    <mergeCell ref="AH185:AH192"/>
    <mergeCell ref="AI185:AI192"/>
    <mergeCell ref="AJ185:AJ192"/>
    <mergeCell ref="AK185:AK192"/>
    <mergeCell ref="AZ185:AZ188"/>
    <mergeCell ref="BA185:BA188"/>
    <mergeCell ref="BB185:BB188"/>
    <mergeCell ref="AT185:AT188"/>
    <mergeCell ref="AU185:AU188"/>
    <mergeCell ref="AV185:AV188"/>
    <mergeCell ref="AW185:AW188"/>
    <mergeCell ref="AL185:AL188"/>
    <mergeCell ref="Y185:Y188"/>
    <mergeCell ref="AM185:AM188"/>
    <mergeCell ref="AD185:AD192"/>
    <mergeCell ref="P179:P181"/>
    <mergeCell ref="CA158:CA161"/>
    <mergeCell ref="BA158:BA161"/>
    <mergeCell ref="J198:V198"/>
    <mergeCell ref="BP185:BP188"/>
    <mergeCell ref="BQ185:BQ188"/>
    <mergeCell ref="BR185:BR188"/>
    <mergeCell ref="BS185:BS188"/>
    <mergeCell ref="BT185:BT188"/>
    <mergeCell ref="BU185:BU188"/>
    <mergeCell ref="BV185:BV188"/>
    <mergeCell ref="BW185:BW188"/>
    <mergeCell ref="BX185:BX188"/>
    <mergeCell ref="BY185:BY188"/>
    <mergeCell ref="BZ185:BZ188"/>
    <mergeCell ref="CA185:CA188"/>
    <mergeCell ref="CB185:CB188"/>
    <mergeCell ref="Q179:Q181"/>
    <mergeCell ref="R179:R181"/>
    <mergeCell ref="S179:S181"/>
    <mergeCell ref="AL179:AL181"/>
    <mergeCell ref="T179:T181"/>
    <mergeCell ref="AM179:AM181"/>
    <mergeCell ref="AZ179:AZ182"/>
    <mergeCell ref="BA179:BA182"/>
    <mergeCell ref="BB179:BB182"/>
    <mergeCell ref="BC179:BC182"/>
    <mergeCell ref="BN179:BN182"/>
    <mergeCell ref="BO179:BO182"/>
    <mergeCell ref="BP179:BP182"/>
    <mergeCell ref="BQ179:BQ182"/>
    <mergeCell ref="BH179:BH182"/>
    <mergeCell ref="BI179:BI182"/>
    <mergeCell ref="AS172:AS177"/>
    <mergeCell ref="AT172:AT177"/>
    <mergeCell ref="AX79:AX80"/>
    <mergeCell ref="AM91:AM92"/>
    <mergeCell ref="AM107:AM109"/>
    <mergeCell ref="AM145:AM147"/>
    <mergeCell ref="AM163:AM165"/>
    <mergeCell ref="BT163:BT165"/>
    <mergeCell ref="BU163:BU165"/>
    <mergeCell ref="CI194:CM194"/>
    <mergeCell ref="BU179:BU182"/>
    <mergeCell ref="BV179:BV182"/>
    <mergeCell ref="BW179:BW182"/>
    <mergeCell ref="BX179:BX182"/>
    <mergeCell ref="BY179:BY182"/>
    <mergeCell ref="BZ179:BZ182"/>
    <mergeCell ref="CA179:CA182"/>
    <mergeCell ref="CB179:CB182"/>
    <mergeCell ref="CC179:CC182"/>
    <mergeCell ref="BN185:BN188"/>
    <mergeCell ref="BO185:BO188"/>
    <mergeCell ref="CB172:CB177"/>
    <mergeCell ref="CC172:CC177"/>
    <mergeCell ref="AX179:AX182"/>
    <mergeCell ref="AY179:AY182"/>
    <mergeCell ref="BC185:BC188"/>
    <mergeCell ref="BR179:BR182"/>
    <mergeCell ref="BS179:BS182"/>
    <mergeCell ref="BT179:BT182"/>
    <mergeCell ref="BY172:BY173"/>
    <mergeCell ref="BZ172:BZ173"/>
    <mergeCell ref="BZ158:BZ161"/>
    <mergeCell ref="BZ145:BZ147"/>
    <mergeCell ref="CA149:CA151"/>
    <mergeCell ref="BB158:BB161"/>
    <mergeCell ref="BC158:BC161"/>
    <mergeCell ref="BN158:BN161"/>
    <mergeCell ref="BO158:BO161"/>
    <mergeCell ref="BP158:BP161"/>
    <mergeCell ref="AL107:AL109"/>
    <mergeCell ref="AL119:AL125"/>
    <mergeCell ref="AL127:AL129"/>
    <mergeCell ref="AX185:AX188"/>
    <mergeCell ref="AX145:AX147"/>
    <mergeCell ref="AW145:AW147"/>
    <mergeCell ref="AL145:AL147"/>
    <mergeCell ref="AO124:AO125"/>
    <mergeCell ref="AP124:AP125"/>
    <mergeCell ref="AQ124:AQ125"/>
    <mergeCell ref="AZ172:AZ177"/>
    <mergeCell ref="BA172:BA177"/>
    <mergeCell ref="BB172:BB177"/>
    <mergeCell ref="BC172:BC177"/>
    <mergeCell ref="BX172:BX173"/>
    <mergeCell ref="BV158:BV161"/>
    <mergeCell ref="BW158:BW161"/>
    <mergeCell ref="BX158:BX161"/>
    <mergeCell ref="CA172:CA177"/>
    <mergeCell ref="AX172:AX177"/>
    <mergeCell ref="AY172:AY177"/>
    <mergeCell ref="AL172:AL173"/>
    <mergeCell ref="AR172:AR177"/>
    <mergeCell ref="BE163:BE165"/>
    <mergeCell ref="BF163:BF165"/>
    <mergeCell ref="BD10:BD14"/>
    <mergeCell ref="BE10:BE14"/>
    <mergeCell ref="BF10:BF14"/>
    <mergeCell ref="BG10:BG14"/>
    <mergeCell ref="BD18:BD19"/>
    <mergeCell ref="BE18:BE19"/>
    <mergeCell ref="BF18:BF19"/>
    <mergeCell ref="BG18:BG19"/>
    <mergeCell ref="BD22:BD25"/>
    <mergeCell ref="BE22:BE25"/>
    <mergeCell ref="BF22:BF25"/>
    <mergeCell ref="BG22:BG25"/>
    <mergeCell ref="BD29:BD33"/>
    <mergeCell ref="BE29:BE33"/>
    <mergeCell ref="BF29:BF33"/>
    <mergeCell ref="BG29:BG33"/>
    <mergeCell ref="BY158:BY161"/>
    <mergeCell ref="BT158:BT161"/>
    <mergeCell ref="BU158:BU161"/>
    <mergeCell ref="BQ145:BQ147"/>
    <mergeCell ref="BR145:BR147"/>
    <mergeCell ref="BT145:BT147"/>
    <mergeCell ref="BU145:BU147"/>
    <mergeCell ref="BV145:BV147"/>
    <mergeCell ref="BX145:BX147"/>
    <mergeCell ref="BY145:BY147"/>
    <mergeCell ref="BT138:BT139"/>
    <mergeCell ref="BU138:BU139"/>
    <mergeCell ref="BV138:BV139"/>
    <mergeCell ref="BW138:BW139"/>
    <mergeCell ref="BX138:BX139"/>
    <mergeCell ref="BY138:BY139"/>
    <mergeCell ref="BD49:BD51"/>
    <mergeCell ref="BE49:BE51"/>
    <mergeCell ref="BF49:BF51"/>
    <mergeCell ref="BG49:BG51"/>
    <mergeCell ref="BD53:BD54"/>
    <mergeCell ref="BE53:BE54"/>
    <mergeCell ref="BF53:BF54"/>
    <mergeCell ref="BG53:BG54"/>
    <mergeCell ref="BD58:BD59"/>
    <mergeCell ref="BE58:BE59"/>
    <mergeCell ref="BF58:BF59"/>
    <mergeCell ref="BG58:BG59"/>
    <mergeCell ref="BD63:BD69"/>
    <mergeCell ref="BE63:BE69"/>
    <mergeCell ref="BF63:BF69"/>
    <mergeCell ref="BG63:BG69"/>
    <mergeCell ref="BD60:BD61"/>
    <mergeCell ref="BG163:BG165"/>
    <mergeCell ref="BD172:BD173"/>
    <mergeCell ref="BE172:BE173"/>
    <mergeCell ref="BF172:BF173"/>
    <mergeCell ref="BG172:BG173"/>
    <mergeCell ref="BD179:BD182"/>
    <mergeCell ref="BE179:BE182"/>
    <mergeCell ref="BF179:BF182"/>
    <mergeCell ref="BG179:BG182"/>
    <mergeCell ref="BF60:BF61"/>
    <mergeCell ref="BE60:BE61"/>
    <mergeCell ref="BG60:BG61"/>
    <mergeCell ref="BD107:BD112"/>
    <mergeCell ref="BE107:BE112"/>
    <mergeCell ref="BF107:BF112"/>
    <mergeCell ref="BG107:BG112"/>
    <mergeCell ref="BD82:BD83"/>
    <mergeCell ref="BE82:BE83"/>
    <mergeCell ref="BF82:BF83"/>
    <mergeCell ref="BG82:BG83"/>
    <mergeCell ref="BD88:BD90"/>
    <mergeCell ref="BE88:BE90"/>
    <mergeCell ref="BF88:BF90"/>
    <mergeCell ref="BG88:BG90"/>
    <mergeCell ref="BD91:BD92"/>
    <mergeCell ref="BE91:BE92"/>
    <mergeCell ref="BF91:BF92"/>
    <mergeCell ref="BG91:BG92"/>
    <mergeCell ref="BD98:BD99"/>
    <mergeCell ref="BE98:BE99"/>
  </mergeCells>
  <printOptions horizontalCentered="1"/>
  <pageMargins left="0" right="0" top="0.74803149606299213" bottom="0.74803149606299213" header="0.31496062992125984" footer="0.31496062992125984"/>
  <pageSetup scale="30" orientation="landscape" horizontalDpi="300" verticalDpi="300" r:id="rId1"/>
  <rowBreaks count="9" manualBreakCount="9">
    <brk id="22" min="4" max="76" man="1"/>
    <brk id="26" min="4" max="76" man="1"/>
    <brk id="44" min="4" max="76" man="1"/>
    <brk id="61" min="4" max="76" man="1"/>
    <brk id="76" min="4" max="76" man="1"/>
    <brk id="114" min="4" max="76" man="1"/>
    <brk id="153" min="4" max="76" man="1"/>
    <brk id="169" min="4" max="76" man="1"/>
    <brk id="188" min="4" max="76" man="1"/>
  </rowBreaks>
  <ignoredErrors>
    <ignoredError sqref="AK102 AD180 AD115"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2"/>
  <sheetViews>
    <sheetView topLeftCell="C12" workbookViewId="0">
      <selection activeCell="C12" sqref="C12"/>
    </sheetView>
  </sheetViews>
  <sheetFormatPr baseColWidth="10" defaultColWidth="11.42578125" defaultRowHeight="12.75" x14ac:dyDescent="0.2"/>
  <cols>
    <col min="1" max="1" width="39.42578125" style="63" bestFit="1" customWidth="1"/>
    <col min="2" max="2" width="7.7109375" style="99" customWidth="1"/>
    <col min="3" max="3" width="45.42578125" style="116" customWidth="1"/>
    <col min="4" max="7" width="15.7109375" style="102" customWidth="1"/>
    <col min="8" max="9" width="12.28515625" style="102" bestFit="1" customWidth="1"/>
    <col min="10" max="10" width="13.42578125" style="102" bestFit="1" customWidth="1"/>
    <col min="11" max="11" width="14.28515625" style="102" bestFit="1" customWidth="1"/>
    <col min="12" max="12" width="12.42578125" style="102" bestFit="1" customWidth="1"/>
    <col min="13" max="13" width="15.28515625" style="102" customWidth="1"/>
    <col min="14" max="14" width="11" style="102" bestFit="1" customWidth="1"/>
    <col min="15" max="16" width="12.28515625" style="102" bestFit="1" customWidth="1"/>
    <col min="17" max="17" width="13.140625" style="102" bestFit="1" customWidth="1"/>
    <col min="18" max="18" width="15.7109375" style="64" customWidth="1"/>
    <col min="19" max="21" width="12.28515625" style="64" bestFit="1" customWidth="1"/>
    <col min="22" max="256" width="11.42578125" style="64"/>
  </cols>
  <sheetData>
    <row r="1" spans="1:18" ht="15.6" customHeight="1" x14ac:dyDescent="0.2">
      <c r="B1" s="1877" t="s">
        <v>214</v>
      </c>
      <c r="C1" s="1878"/>
      <c r="D1" s="1878"/>
      <c r="E1" s="1878"/>
      <c r="F1" s="1878"/>
      <c r="G1" s="1878"/>
      <c r="H1" s="1878"/>
      <c r="I1" s="1878"/>
      <c r="J1" s="1878"/>
      <c r="K1" s="1878"/>
      <c r="L1" s="1878"/>
      <c r="M1" s="1878"/>
      <c r="N1" s="1878"/>
      <c r="O1" s="1878"/>
      <c r="P1" s="1878"/>
      <c r="Q1" s="1879"/>
    </row>
    <row r="2" spans="1:18" s="66" customFormat="1" ht="18" customHeight="1" x14ac:dyDescent="0.2">
      <c r="A2" s="65"/>
      <c r="B2" s="1880" t="s">
        <v>215</v>
      </c>
      <c r="C2" s="1881"/>
      <c r="D2" s="1881"/>
      <c r="E2" s="1881"/>
      <c r="F2" s="1881"/>
      <c r="G2" s="1881"/>
      <c r="H2" s="1881"/>
      <c r="I2" s="1881"/>
      <c r="J2" s="1881"/>
      <c r="K2" s="1881"/>
      <c r="L2" s="1881"/>
      <c r="M2" s="1881"/>
      <c r="N2" s="1881"/>
      <c r="O2" s="1881"/>
      <c r="P2" s="1881"/>
      <c r="Q2" s="1882"/>
    </row>
    <row r="3" spans="1:18" s="68" customFormat="1" ht="11.25" customHeight="1" x14ac:dyDescent="0.2">
      <c r="A3" s="67"/>
      <c r="B3" s="1889" t="s">
        <v>212</v>
      </c>
      <c r="C3" s="1889" t="s">
        <v>216</v>
      </c>
      <c r="D3" s="1883" t="s">
        <v>217</v>
      </c>
      <c r="E3" s="1884"/>
      <c r="F3" s="1884"/>
      <c r="G3" s="1885"/>
      <c r="H3" s="1886" t="s">
        <v>218</v>
      </c>
      <c r="I3" s="1887"/>
      <c r="J3" s="1887"/>
      <c r="K3" s="1887"/>
      <c r="L3" s="1887"/>
      <c r="M3" s="1887"/>
      <c r="N3" s="1887"/>
      <c r="O3" s="1887"/>
      <c r="P3" s="1887"/>
      <c r="Q3" s="1888"/>
    </row>
    <row r="4" spans="1:18" s="67" customFormat="1" ht="45" customHeight="1" x14ac:dyDescent="0.2">
      <c r="A4" s="69" t="s">
        <v>219</v>
      </c>
      <c r="B4" s="1889"/>
      <c r="C4" s="1889"/>
      <c r="D4" s="70" t="s">
        <v>189</v>
      </c>
      <c r="E4" s="70" t="s">
        <v>220</v>
      </c>
      <c r="F4" s="70" t="s">
        <v>190</v>
      </c>
      <c r="G4" s="70" t="s">
        <v>221</v>
      </c>
      <c r="H4" s="71" t="s">
        <v>222</v>
      </c>
      <c r="I4" s="71" t="s">
        <v>223</v>
      </c>
      <c r="J4" s="71" t="s">
        <v>224</v>
      </c>
      <c r="K4" s="71" t="s">
        <v>225</v>
      </c>
      <c r="L4" s="71" t="s">
        <v>226</v>
      </c>
      <c r="M4" s="71" t="s">
        <v>227</v>
      </c>
      <c r="N4" s="71" t="s">
        <v>228</v>
      </c>
      <c r="O4" s="71" t="s">
        <v>213</v>
      </c>
      <c r="P4" s="71" t="s">
        <v>229</v>
      </c>
      <c r="Q4" s="72" t="s">
        <v>17</v>
      </c>
    </row>
    <row r="5" spans="1:18" ht="3.75" customHeight="1" x14ac:dyDescent="0.2">
      <c r="B5" s="53"/>
      <c r="C5" s="16"/>
      <c r="D5" s="29"/>
      <c r="E5" s="29"/>
      <c r="F5" s="29"/>
      <c r="G5" s="29"/>
      <c r="H5" s="29"/>
      <c r="I5" s="29"/>
      <c r="J5" s="29"/>
      <c r="K5" s="29"/>
      <c r="L5" s="29"/>
      <c r="M5" s="29"/>
      <c r="N5" s="29"/>
      <c r="O5" s="29"/>
      <c r="P5" s="29"/>
      <c r="Q5" s="29"/>
    </row>
    <row r="6" spans="1:18" x14ac:dyDescent="0.2">
      <c r="B6" s="53">
        <v>1</v>
      </c>
      <c r="C6" s="73" t="s">
        <v>191</v>
      </c>
      <c r="D6" s="44"/>
      <c r="E6" s="44"/>
      <c r="F6" s="44"/>
      <c r="G6" s="44">
        <f>SUM(D6:F6)</f>
        <v>0</v>
      </c>
      <c r="H6" s="44"/>
      <c r="I6" s="44"/>
      <c r="J6" s="44"/>
      <c r="K6" s="44"/>
      <c r="L6" s="44"/>
      <c r="M6" s="44"/>
      <c r="N6" s="44"/>
      <c r="O6" s="44">
        <v>251466240</v>
      </c>
      <c r="P6" s="44">
        <v>1070234545</v>
      </c>
      <c r="Q6" s="44">
        <f>SUM(H6:P6)</f>
        <v>1321700785</v>
      </c>
      <c r="R6" s="74">
        <f t="shared" ref="R6:R20" si="0">+D6-Q6</f>
        <v>-1321700785</v>
      </c>
    </row>
    <row r="7" spans="1:18" x14ac:dyDescent="0.2">
      <c r="B7" s="53">
        <v>2</v>
      </c>
      <c r="C7" s="75" t="s">
        <v>192</v>
      </c>
      <c r="D7" s="44">
        <f>SUM(D8+D9)</f>
        <v>0</v>
      </c>
      <c r="E7" s="44"/>
      <c r="F7" s="44">
        <f>SUM(F8+F9)</f>
        <v>0</v>
      </c>
      <c r="G7" s="44">
        <f>SUM(G8+G9)</f>
        <v>0</v>
      </c>
      <c r="H7" s="44">
        <f>SUM(H8+H9)</f>
        <v>0</v>
      </c>
      <c r="I7" s="44">
        <f>SUM(I8+I9)</f>
        <v>1920279524</v>
      </c>
      <c r="J7" s="44"/>
      <c r="K7" s="44"/>
      <c r="L7" s="44"/>
      <c r="M7" s="44"/>
      <c r="N7" s="44"/>
      <c r="O7" s="44"/>
      <c r="P7" s="44">
        <f>P8+P9</f>
        <v>52304352</v>
      </c>
      <c r="Q7" s="44">
        <f>+Q8+Q9</f>
        <v>1972583876</v>
      </c>
      <c r="R7" s="74">
        <f t="shared" si="0"/>
        <v>-1972583876</v>
      </c>
    </row>
    <row r="8" spans="1:18" x14ac:dyDescent="0.2">
      <c r="B8" s="53"/>
      <c r="C8" s="76" t="s">
        <v>230</v>
      </c>
      <c r="D8" s="29"/>
      <c r="E8" s="29"/>
      <c r="F8" s="29">
        <v>0</v>
      </c>
      <c r="G8" s="29">
        <f>SUM(D8:F8)</f>
        <v>0</v>
      </c>
      <c r="H8" s="29"/>
      <c r="I8" s="29">
        <v>1848659903</v>
      </c>
      <c r="J8" s="29"/>
      <c r="K8" s="29"/>
      <c r="L8" s="29"/>
      <c r="M8" s="29"/>
      <c r="N8" s="29"/>
      <c r="O8" s="29"/>
      <c r="P8" s="29">
        <v>52304352</v>
      </c>
      <c r="Q8" s="29">
        <f t="shared" ref="Q8:Q20" si="1">SUM(H8:P8)</f>
        <v>1900964255</v>
      </c>
      <c r="R8" s="74">
        <f t="shared" si="0"/>
        <v>-1900964255</v>
      </c>
    </row>
    <row r="9" spans="1:18" x14ac:dyDescent="0.2">
      <c r="B9" s="53"/>
      <c r="C9" s="76" t="s">
        <v>231</v>
      </c>
      <c r="D9" s="29"/>
      <c r="E9" s="29"/>
      <c r="F9" s="29"/>
      <c r="G9" s="29">
        <f>SUM(D9:F9)</f>
        <v>0</v>
      </c>
      <c r="H9" s="29"/>
      <c r="I9" s="29">
        <v>71619621</v>
      </c>
      <c r="J9" s="29"/>
      <c r="K9" s="29"/>
      <c r="L9" s="29"/>
      <c r="M9" s="29"/>
      <c r="N9" s="29"/>
      <c r="O9" s="29"/>
      <c r="P9" s="29"/>
      <c r="Q9" s="29">
        <f t="shared" si="1"/>
        <v>71619621</v>
      </c>
      <c r="R9" s="74">
        <f t="shared" si="0"/>
        <v>-71619621</v>
      </c>
    </row>
    <row r="10" spans="1:18" x14ac:dyDescent="0.2">
      <c r="B10" s="53"/>
      <c r="C10" s="73" t="s">
        <v>232</v>
      </c>
      <c r="D10" s="44">
        <f>SUM(D11+D15+D18)</f>
        <v>0</v>
      </c>
      <c r="E10" s="44"/>
      <c r="F10" s="44">
        <f>SUM(F11+F15+F18)</f>
        <v>0</v>
      </c>
      <c r="G10" s="44">
        <f>SUM(G11+G15+G18)</f>
        <v>0</v>
      </c>
      <c r="H10" s="44"/>
      <c r="I10" s="44">
        <f>SUM(I11+I15+I18)</f>
        <v>167980848</v>
      </c>
      <c r="J10" s="44">
        <f>SUM(J11+J15+J18)</f>
        <v>0</v>
      </c>
      <c r="K10" s="44">
        <f>SUM(K11+K15+K18)</f>
        <v>0</v>
      </c>
      <c r="L10" s="44">
        <f>SUM(L11+L15+L18)</f>
        <v>0</v>
      </c>
      <c r="M10" s="44">
        <f>SUM(M11+M15+M18)</f>
        <v>0</v>
      </c>
      <c r="N10" s="44"/>
      <c r="O10" s="44">
        <f>SUM(O11+O15+O18)</f>
        <v>0</v>
      </c>
      <c r="P10" s="44">
        <f>SUM(P11+P15+P18)</f>
        <v>0</v>
      </c>
      <c r="Q10" s="44">
        <f t="shared" si="1"/>
        <v>167980848</v>
      </c>
      <c r="R10" s="74">
        <f t="shared" si="0"/>
        <v>-167980848</v>
      </c>
    </row>
    <row r="11" spans="1:18" x14ac:dyDescent="0.2">
      <c r="B11" s="53"/>
      <c r="C11" s="73" t="s">
        <v>233</v>
      </c>
      <c r="D11" s="44">
        <f>SUM(D12:D14)</f>
        <v>0</v>
      </c>
      <c r="E11" s="44"/>
      <c r="F11" s="44">
        <f>SUM(F12:F14)</f>
        <v>0</v>
      </c>
      <c r="G11" s="44">
        <f>SUM(G12:G14)</f>
        <v>0</v>
      </c>
      <c r="H11" s="44"/>
      <c r="I11" s="44">
        <f>SUM(I12:I14)</f>
        <v>27980848</v>
      </c>
      <c r="J11" s="44">
        <f>SUM(J12:J14)</f>
        <v>0</v>
      </c>
      <c r="K11" s="44">
        <f>SUM(K12:K14)</f>
        <v>0</v>
      </c>
      <c r="L11" s="44">
        <f>SUM(L12:L14)</f>
        <v>0</v>
      </c>
      <c r="M11" s="44">
        <f>SUM(M12:M14)</f>
        <v>0</v>
      </c>
      <c r="N11" s="44"/>
      <c r="O11" s="44">
        <f>SUM(O12:O14)</f>
        <v>0</v>
      </c>
      <c r="P11" s="44">
        <f>SUM(P12:P14)</f>
        <v>0</v>
      </c>
      <c r="Q11" s="44">
        <f t="shared" si="1"/>
        <v>27980848</v>
      </c>
      <c r="R11" s="74">
        <f t="shared" si="0"/>
        <v>-27980848</v>
      </c>
    </row>
    <row r="12" spans="1:18" x14ac:dyDescent="0.2">
      <c r="B12" s="53"/>
      <c r="C12" s="76" t="s">
        <v>234</v>
      </c>
      <c r="D12" s="29"/>
      <c r="E12" s="29"/>
      <c r="F12" s="29"/>
      <c r="G12" s="29">
        <f>SUM(D12:F12)</f>
        <v>0</v>
      </c>
      <c r="H12" s="29"/>
      <c r="I12" s="29">
        <v>14154074</v>
      </c>
      <c r="J12" s="29"/>
      <c r="K12" s="29"/>
      <c r="L12" s="29"/>
      <c r="M12" s="29"/>
      <c r="N12" s="29"/>
      <c r="O12" s="29"/>
      <c r="P12" s="29"/>
      <c r="Q12" s="29">
        <f t="shared" si="1"/>
        <v>14154074</v>
      </c>
      <c r="R12" s="74">
        <f t="shared" si="0"/>
        <v>-14154074</v>
      </c>
    </row>
    <row r="13" spans="1:18" x14ac:dyDescent="0.2">
      <c r="B13" s="53"/>
      <c r="C13" s="76" t="s">
        <v>235</v>
      </c>
      <c r="D13" s="29"/>
      <c r="E13" s="29"/>
      <c r="F13" s="29"/>
      <c r="G13" s="29">
        <f>SUM(D13:F13)</f>
        <v>0</v>
      </c>
      <c r="H13" s="29"/>
      <c r="I13" s="29"/>
      <c r="J13" s="29">
        <f>+ROUND(J138*0.2,0)</f>
        <v>0</v>
      </c>
      <c r="K13" s="29">
        <f>+ROUND(K138*0.1,0)</f>
        <v>0</v>
      </c>
      <c r="L13" s="29">
        <f>+ROUND(L138*0.1,0)</f>
        <v>0</v>
      </c>
      <c r="M13" s="29">
        <f>+ROUND(M138*0.1,0)</f>
        <v>0</v>
      </c>
      <c r="N13" s="29"/>
      <c r="O13" s="29"/>
      <c r="P13" s="29"/>
      <c r="Q13" s="29">
        <f t="shared" si="1"/>
        <v>0</v>
      </c>
      <c r="R13" s="74">
        <f t="shared" si="0"/>
        <v>0</v>
      </c>
    </row>
    <row r="14" spans="1:18" x14ac:dyDescent="0.2">
      <c r="B14" s="53"/>
      <c r="C14" s="76" t="s">
        <v>236</v>
      </c>
      <c r="D14" s="77"/>
      <c r="E14" s="77"/>
      <c r="F14" s="29"/>
      <c r="G14" s="29">
        <f>SUM(D14:F14)</f>
        <v>0</v>
      </c>
      <c r="H14" s="29"/>
      <c r="I14" s="29">
        <v>13826774</v>
      </c>
      <c r="J14" s="29"/>
      <c r="K14" s="29"/>
      <c r="L14" s="29"/>
      <c r="M14" s="29"/>
      <c r="N14" s="29"/>
      <c r="O14" s="29"/>
      <c r="P14" s="29"/>
      <c r="Q14" s="29">
        <f t="shared" si="1"/>
        <v>13826774</v>
      </c>
      <c r="R14" s="74">
        <f t="shared" si="0"/>
        <v>-13826774</v>
      </c>
    </row>
    <row r="15" spans="1:18" x14ac:dyDescent="0.2">
      <c r="B15" s="53"/>
      <c r="C15" s="73" t="s">
        <v>237</v>
      </c>
      <c r="D15" s="44">
        <f>SUM(D16:D17)</f>
        <v>0</v>
      </c>
      <c r="E15" s="44"/>
      <c r="F15" s="44">
        <f>SUM(F16:F17)</f>
        <v>0</v>
      </c>
      <c r="G15" s="44">
        <f>SUM(G16:G17)</f>
        <v>0</v>
      </c>
      <c r="H15" s="44"/>
      <c r="I15" s="44">
        <f>SUM(I16:I17)</f>
        <v>0</v>
      </c>
      <c r="J15" s="44"/>
      <c r="K15" s="44"/>
      <c r="L15" s="44"/>
      <c r="M15" s="44"/>
      <c r="N15" s="44"/>
      <c r="O15" s="44"/>
      <c r="P15" s="44"/>
      <c r="Q15" s="44">
        <f t="shared" si="1"/>
        <v>0</v>
      </c>
      <c r="R15" s="74">
        <f t="shared" si="0"/>
        <v>0</v>
      </c>
    </row>
    <row r="16" spans="1:18" x14ac:dyDescent="0.2">
      <c r="B16" s="53"/>
      <c r="C16" s="76" t="s">
        <v>238</v>
      </c>
      <c r="D16" s="29">
        <v>0</v>
      </c>
      <c r="E16" s="29"/>
      <c r="F16" s="29"/>
      <c r="G16" s="29">
        <f>SUM(D16:F16)</f>
        <v>0</v>
      </c>
      <c r="H16" s="29"/>
      <c r="I16" s="29"/>
      <c r="J16" s="29"/>
      <c r="K16" s="29"/>
      <c r="L16" s="29"/>
      <c r="M16" s="29"/>
      <c r="N16" s="29"/>
      <c r="O16" s="29"/>
      <c r="P16" s="29"/>
      <c r="Q16" s="29">
        <f t="shared" si="1"/>
        <v>0</v>
      </c>
      <c r="R16" s="74">
        <f t="shared" si="0"/>
        <v>0</v>
      </c>
    </row>
    <row r="17" spans="1:76" x14ac:dyDescent="0.2">
      <c r="B17" s="53"/>
      <c r="C17" s="76" t="s">
        <v>239</v>
      </c>
      <c r="D17" s="29">
        <v>0</v>
      </c>
      <c r="E17" s="29"/>
      <c r="F17" s="29"/>
      <c r="G17" s="29"/>
      <c r="H17" s="29"/>
      <c r="I17" s="29"/>
      <c r="J17" s="29"/>
      <c r="K17" s="29"/>
      <c r="L17" s="29"/>
      <c r="M17" s="29"/>
      <c r="N17" s="29"/>
      <c r="O17" s="29"/>
      <c r="P17" s="29"/>
      <c r="Q17" s="29">
        <f t="shared" si="1"/>
        <v>0</v>
      </c>
      <c r="R17" s="74">
        <f t="shared" si="0"/>
        <v>0</v>
      </c>
    </row>
    <row r="18" spans="1:76" x14ac:dyDescent="0.2">
      <c r="B18" s="53"/>
      <c r="C18" s="73" t="s">
        <v>240</v>
      </c>
      <c r="D18" s="44">
        <f>SUM(D19)</f>
        <v>0</v>
      </c>
      <c r="E18" s="44"/>
      <c r="F18" s="44"/>
      <c r="G18" s="44">
        <f>SUM(G19)</f>
        <v>0</v>
      </c>
      <c r="H18" s="44"/>
      <c r="I18" s="44">
        <f>SUM(I19)</f>
        <v>140000000</v>
      </c>
      <c r="J18" s="44"/>
      <c r="K18" s="44"/>
      <c r="L18" s="44"/>
      <c r="M18" s="44">
        <f>SUM(M19)</f>
        <v>0</v>
      </c>
      <c r="N18" s="44"/>
      <c r="O18" s="44"/>
      <c r="P18" s="44"/>
      <c r="Q18" s="44">
        <f t="shared" si="1"/>
        <v>140000000</v>
      </c>
      <c r="R18" s="74">
        <f t="shared" si="0"/>
        <v>-140000000</v>
      </c>
    </row>
    <row r="19" spans="1:76" x14ac:dyDescent="0.2">
      <c r="B19" s="53"/>
      <c r="C19" s="73" t="s">
        <v>241</v>
      </c>
      <c r="D19" s="44">
        <f>SUM(D20)</f>
        <v>0</v>
      </c>
      <c r="E19" s="44"/>
      <c r="F19" s="44"/>
      <c r="G19" s="44">
        <f>SUM(G20)</f>
        <v>0</v>
      </c>
      <c r="H19" s="44"/>
      <c r="I19" s="44">
        <f>SUM(I20)</f>
        <v>140000000</v>
      </c>
      <c r="J19" s="44"/>
      <c r="K19" s="44"/>
      <c r="L19" s="44"/>
      <c r="M19" s="44">
        <f>SUM(M20)</f>
        <v>0</v>
      </c>
      <c r="N19" s="44"/>
      <c r="O19" s="44"/>
      <c r="P19" s="44"/>
      <c r="Q19" s="44">
        <f t="shared" si="1"/>
        <v>140000000</v>
      </c>
      <c r="R19" s="74">
        <f t="shared" si="0"/>
        <v>-140000000</v>
      </c>
    </row>
    <row r="20" spans="1:76" x14ac:dyDescent="0.2">
      <c r="B20" s="53"/>
      <c r="C20" s="76" t="s">
        <v>242</v>
      </c>
      <c r="D20" s="29"/>
      <c r="E20" s="29"/>
      <c r="F20" s="29"/>
      <c r="G20" s="29">
        <f>SUM(D20:F20)</f>
        <v>0</v>
      </c>
      <c r="H20" s="29"/>
      <c r="I20" s="29">
        <v>140000000</v>
      </c>
      <c r="J20" s="29"/>
      <c r="K20" s="29"/>
      <c r="L20" s="29"/>
      <c r="M20" s="29"/>
      <c r="N20" s="29"/>
      <c r="O20" s="29"/>
      <c r="P20" s="29"/>
      <c r="Q20" s="29">
        <f t="shared" si="1"/>
        <v>140000000</v>
      </c>
      <c r="R20" s="74">
        <f t="shared" si="0"/>
        <v>-140000000</v>
      </c>
    </row>
    <row r="21" spans="1:76" x14ac:dyDescent="0.2">
      <c r="B21" s="53"/>
      <c r="C21" s="73" t="s">
        <v>243</v>
      </c>
      <c r="D21" s="29">
        <v>0</v>
      </c>
      <c r="E21" s="29"/>
      <c r="F21" s="44"/>
      <c r="G21" s="29">
        <f>SUM(D21:F21)</f>
        <v>0</v>
      </c>
      <c r="H21" s="29"/>
      <c r="I21" s="29"/>
      <c r="J21" s="29"/>
      <c r="K21" s="29"/>
      <c r="L21" s="29"/>
      <c r="M21" s="29"/>
      <c r="N21" s="29"/>
      <c r="O21" s="29"/>
      <c r="P21" s="29"/>
      <c r="Q21" s="29"/>
      <c r="R21" s="74">
        <f>+G21-Q21</f>
        <v>0</v>
      </c>
    </row>
    <row r="22" spans="1:76" ht="18" customHeight="1" x14ac:dyDescent="0.2">
      <c r="B22" s="78"/>
      <c r="C22" s="79" t="s">
        <v>244</v>
      </c>
      <c r="D22" s="33">
        <f>SUM(D6+D7+D10)</f>
        <v>0</v>
      </c>
      <c r="E22" s="33"/>
      <c r="F22" s="33">
        <f t="shared" ref="F22:Q22" si="2">SUM(F6+F7+F10)</f>
        <v>0</v>
      </c>
      <c r="G22" s="33">
        <f t="shared" si="2"/>
        <v>0</v>
      </c>
      <c r="H22" s="33">
        <f t="shared" si="2"/>
        <v>0</v>
      </c>
      <c r="I22" s="33">
        <f t="shared" si="2"/>
        <v>2088260372</v>
      </c>
      <c r="J22" s="33">
        <f t="shared" si="2"/>
        <v>0</v>
      </c>
      <c r="K22" s="33">
        <f t="shared" si="2"/>
        <v>0</v>
      </c>
      <c r="L22" s="33">
        <f t="shared" si="2"/>
        <v>0</v>
      </c>
      <c r="M22" s="33">
        <f t="shared" si="2"/>
        <v>0</v>
      </c>
      <c r="N22" s="33">
        <f t="shared" si="2"/>
        <v>0</v>
      </c>
      <c r="O22" s="33">
        <f t="shared" si="2"/>
        <v>251466240</v>
      </c>
      <c r="P22" s="33">
        <f t="shared" si="2"/>
        <v>1122538897</v>
      </c>
      <c r="Q22" s="33">
        <f t="shared" si="2"/>
        <v>3462265509</v>
      </c>
      <c r="R22" s="74">
        <f>+G22-Q22</f>
        <v>-3462265509</v>
      </c>
    </row>
    <row r="23" spans="1:76" ht="3" customHeight="1" x14ac:dyDescent="0.2">
      <c r="B23" s="53"/>
      <c r="C23" s="80"/>
      <c r="D23" s="44"/>
      <c r="E23" s="44"/>
      <c r="F23" s="29"/>
      <c r="G23" s="29"/>
      <c r="H23" s="29"/>
      <c r="I23" s="29"/>
      <c r="J23" s="29"/>
      <c r="K23" s="29"/>
      <c r="L23" s="29"/>
      <c r="M23" s="29"/>
      <c r="N23" s="29"/>
      <c r="O23" s="29"/>
      <c r="P23" s="29"/>
      <c r="Q23" s="29"/>
      <c r="R23" s="74"/>
    </row>
    <row r="24" spans="1:76" s="83" customFormat="1" ht="15" customHeight="1" x14ac:dyDescent="0.2">
      <c r="A24" s="81"/>
      <c r="B24" s="78"/>
      <c r="C24" s="79" t="s">
        <v>245</v>
      </c>
      <c r="D24" s="33">
        <f>+D26+D37+D42+D65+D83+D87+D98+D105+D111+D121</f>
        <v>11239380006</v>
      </c>
      <c r="E24" s="33">
        <f>+E26+E37+E42+E65+E83+E87+E98+E105+E111+E121</f>
        <v>812000000</v>
      </c>
      <c r="F24" s="33">
        <f>+F26+F37+F42+F65+F83+F87+F98+F105+F111+F121</f>
        <v>0</v>
      </c>
      <c r="G24" s="82">
        <f>SUM(D24:F24)</f>
        <v>12051380006</v>
      </c>
      <c r="H24" s="33">
        <f t="shared" ref="H24:Q24" si="3">+H26+H37+H42+H65+H83+H87+H98+H105+H111+H121</f>
        <v>1773043594</v>
      </c>
      <c r="I24" s="33">
        <f t="shared" si="3"/>
        <v>4670433586</v>
      </c>
      <c r="J24" s="33">
        <f t="shared" si="3"/>
        <v>179012872</v>
      </c>
      <c r="K24" s="33">
        <f t="shared" si="3"/>
        <v>2455913137</v>
      </c>
      <c r="L24" s="33">
        <f t="shared" si="3"/>
        <v>224142349</v>
      </c>
      <c r="M24" s="33">
        <f t="shared" si="3"/>
        <v>1189834468</v>
      </c>
      <c r="N24" s="33">
        <f t="shared" si="3"/>
        <v>812000000</v>
      </c>
      <c r="O24" s="33">
        <f t="shared" si="3"/>
        <v>747000000</v>
      </c>
      <c r="P24" s="33">
        <f t="shared" si="3"/>
        <v>0</v>
      </c>
      <c r="Q24" s="33">
        <f t="shared" si="3"/>
        <v>12051380006</v>
      </c>
      <c r="R24" s="74">
        <f>+G24-Q24</f>
        <v>0</v>
      </c>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ht="5.25" customHeight="1" x14ac:dyDescent="0.2">
      <c r="B25" s="53"/>
      <c r="C25" s="16"/>
      <c r="D25" s="29"/>
      <c r="E25" s="29"/>
      <c r="F25" s="29"/>
      <c r="G25" s="29"/>
      <c r="H25" s="29"/>
      <c r="I25" s="29"/>
      <c r="J25" s="29"/>
      <c r="K25" s="29"/>
      <c r="L25" s="29"/>
      <c r="M25" s="29"/>
      <c r="N25" s="29"/>
      <c r="O25" s="29"/>
      <c r="P25" s="29"/>
      <c r="Q25" s="29"/>
      <c r="R25" s="74"/>
    </row>
    <row r="26" spans="1:76" s="86" customFormat="1" ht="30" customHeight="1" x14ac:dyDescent="0.2">
      <c r="A26" s="84"/>
      <c r="B26" s="85">
        <v>1</v>
      </c>
      <c r="C26" s="14" t="s">
        <v>18</v>
      </c>
      <c r="D26" s="27">
        <f>+D27+D30+D34</f>
        <v>529432040</v>
      </c>
      <c r="E26" s="27"/>
      <c r="F26" s="27">
        <f>+F27+F30+F34</f>
        <v>0</v>
      </c>
      <c r="G26" s="27">
        <f t="shared" ref="G26:G57" si="4">SUM(D26:F26)</f>
        <v>529432040</v>
      </c>
      <c r="H26" s="27">
        <f t="shared" ref="H26:Q26" si="5">+H27+H30+H34</f>
        <v>529432040</v>
      </c>
      <c r="I26" s="27">
        <f t="shared" si="5"/>
        <v>0</v>
      </c>
      <c r="J26" s="27">
        <f t="shared" si="5"/>
        <v>0</v>
      </c>
      <c r="K26" s="27">
        <f t="shared" si="5"/>
        <v>0</v>
      </c>
      <c r="L26" s="27">
        <f t="shared" si="5"/>
        <v>0</v>
      </c>
      <c r="M26" s="27">
        <f t="shared" si="5"/>
        <v>0</v>
      </c>
      <c r="N26" s="27">
        <f t="shared" si="5"/>
        <v>0</v>
      </c>
      <c r="O26" s="27">
        <f t="shared" si="5"/>
        <v>0</v>
      </c>
      <c r="P26" s="27">
        <f t="shared" si="5"/>
        <v>0</v>
      </c>
      <c r="Q26" s="27">
        <f t="shared" si="5"/>
        <v>529432040</v>
      </c>
      <c r="R26" s="74">
        <f t="shared" ref="R26:R39" si="6">+G26-Q26</f>
        <v>0</v>
      </c>
    </row>
    <row r="27" spans="1:76" ht="26.1" customHeight="1" x14ac:dyDescent="0.2">
      <c r="A27" s="63" t="s">
        <v>246</v>
      </c>
      <c r="B27" s="1866" t="s">
        <v>247</v>
      </c>
      <c r="C27" s="15" t="s">
        <v>19</v>
      </c>
      <c r="D27" s="28">
        <f>SUM(D28:D29)</f>
        <v>165000000</v>
      </c>
      <c r="E27" s="28"/>
      <c r="F27" s="28">
        <f>SUM(F28:F29)</f>
        <v>0</v>
      </c>
      <c r="G27" s="28">
        <f t="shared" si="4"/>
        <v>165000000</v>
      </c>
      <c r="H27" s="28">
        <f t="shared" ref="H27:Q27" si="7">SUM(H28:H29)</f>
        <v>165000000</v>
      </c>
      <c r="I27" s="28">
        <f t="shared" si="7"/>
        <v>0</v>
      </c>
      <c r="J27" s="28">
        <f t="shared" si="7"/>
        <v>0</v>
      </c>
      <c r="K27" s="28">
        <f t="shared" si="7"/>
        <v>0</v>
      </c>
      <c r="L27" s="28">
        <f t="shared" si="7"/>
        <v>0</v>
      </c>
      <c r="M27" s="28">
        <f t="shared" si="7"/>
        <v>0</v>
      </c>
      <c r="N27" s="28">
        <f t="shared" si="7"/>
        <v>0</v>
      </c>
      <c r="O27" s="28">
        <f t="shared" si="7"/>
        <v>0</v>
      </c>
      <c r="P27" s="28">
        <f t="shared" si="7"/>
        <v>0</v>
      </c>
      <c r="Q27" s="28">
        <f t="shared" si="7"/>
        <v>165000000</v>
      </c>
      <c r="R27" s="74">
        <f t="shared" si="6"/>
        <v>0</v>
      </c>
    </row>
    <row r="28" spans="1:76" ht="22.5" x14ac:dyDescent="0.2">
      <c r="B28" s="1866"/>
      <c r="C28" s="16" t="s">
        <v>248</v>
      </c>
      <c r="D28" s="29">
        <v>135000000</v>
      </c>
      <c r="E28" s="29"/>
      <c r="F28" s="29"/>
      <c r="G28" s="29">
        <f t="shared" si="4"/>
        <v>135000000</v>
      </c>
      <c r="H28" s="29">
        <v>135000000</v>
      </c>
      <c r="I28" s="29"/>
      <c r="J28" s="29"/>
      <c r="K28" s="29"/>
      <c r="L28" s="29"/>
      <c r="M28" s="29"/>
      <c r="N28" s="29"/>
      <c r="O28" s="29"/>
      <c r="P28" s="29"/>
      <c r="Q28" s="29">
        <f>SUM(H28:P28)</f>
        <v>135000000</v>
      </c>
      <c r="R28" s="74">
        <f t="shared" si="6"/>
        <v>0</v>
      </c>
    </row>
    <row r="29" spans="1:76" ht="26.1" customHeight="1" x14ac:dyDescent="0.2">
      <c r="B29" s="1866"/>
      <c r="C29" s="16" t="s">
        <v>20</v>
      </c>
      <c r="D29" s="29">
        <v>30000000</v>
      </c>
      <c r="E29" s="29"/>
      <c r="F29" s="29"/>
      <c r="G29" s="29">
        <f t="shared" si="4"/>
        <v>30000000</v>
      </c>
      <c r="H29" s="29">
        <v>30000000</v>
      </c>
      <c r="I29" s="29"/>
      <c r="J29" s="29"/>
      <c r="K29" s="29"/>
      <c r="L29" s="29"/>
      <c r="M29" s="29"/>
      <c r="N29" s="29"/>
      <c r="O29" s="29"/>
      <c r="P29" s="29"/>
      <c r="Q29" s="29">
        <f>SUM(H29:P29)</f>
        <v>30000000</v>
      </c>
      <c r="R29" s="74">
        <f t="shared" si="6"/>
        <v>0</v>
      </c>
    </row>
    <row r="30" spans="1:76" ht="26.1" customHeight="1" x14ac:dyDescent="0.2">
      <c r="A30" s="63" t="s">
        <v>246</v>
      </c>
      <c r="B30" s="1866" t="s">
        <v>249</v>
      </c>
      <c r="C30" s="17" t="s">
        <v>21</v>
      </c>
      <c r="D30" s="28">
        <f>SUM(D31:D33)</f>
        <v>230000000</v>
      </c>
      <c r="E30" s="28"/>
      <c r="F30" s="28">
        <f>SUM(F31:F33)</f>
        <v>0</v>
      </c>
      <c r="G30" s="28">
        <f t="shared" si="4"/>
        <v>230000000</v>
      </c>
      <c r="H30" s="28">
        <f t="shared" ref="H30:Q30" si="8">SUM(H31:H33)</f>
        <v>230000000</v>
      </c>
      <c r="I30" s="28">
        <f t="shared" si="8"/>
        <v>0</v>
      </c>
      <c r="J30" s="28">
        <f t="shared" si="8"/>
        <v>0</v>
      </c>
      <c r="K30" s="28">
        <f t="shared" si="8"/>
        <v>0</v>
      </c>
      <c r="L30" s="28">
        <f t="shared" si="8"/>
        <v>0</v>
      </c>
      <c r="M30" s="28">
        <f t="shared" si="8"/>
        <v>0</v>
      </c>
      <c r="N30" s="28">
        <f t="shared" si="8"/>
        <v>0</v>
      </c>
      <c r="O30" s="28">
        <f t="shared" si="8"/>
        <v>0</v>
      </c>
      <c r="P30" s="28">
        <f t="shared" si="8"/>
        <v>0</v>
      </c>
      <c r="Q30" s="28">
        <f t="shared" si="8"/>
        <v>230000000</v>
      </c>
      <c r="R30" s="74">
        <f t="shared" si="6"/>
        <v>0</v>
      </c>
    </row>
    <row r="31" spans="1:76" ht="18.600000000000001" customHeight="1" x14ac:dyDescent="0.2">
      <c r="B31" s="1866"/>
      <c r="C31" s="18" t="s">
        <v>22</v>
      </c>
      <c r="D31" s="30">
        <v>120000000</v>
      </c>
      <c r="E31" s="30"/>
      <c r="F31" s="30"/>
      <c r="G31" s="29">
        <f t="shared" si="4"/>
        <v>120000000</v>
      </c>
      <c r="H31" s="30">
        <v>120000000</v>
      </c>
      <c r="I31" s="30"/>
      <c r="J31" s="30"/>
      <c r="K31" s="30"/>
      <c r="L31" s="30"/>
      <c r="M31" s="30"/>
      <c r="N31" s="30"/>
      <c r="O31" s="30"/>
      <c r="P31" s="30"/>
      <c r="Q31" s="30">
        <f>SUM(H31:P31)</f>
        <v>120000000</v>
      </c>
      <c r="R31" s="74">
        <f t="shared" si="6"/>
        <v>0</v>
      </c>
    </row>
    <row r="32" spans="1:76" ht="20.25" customHeight="1" x14ac:dyDescent="0.2">
      <c r="B32" s="1866"/>
      <c r="C32" s="16" t="s">
        <v>23</v>
      </c>
      <c r="D32" s="30">
        <v>85000000</v>
      </c>
      <c r="E32" s="30"/>
      <c r="F32" s="30"/>
      <c r="G32" s="29">
        <f t="shared" si="4"/>
        <v>85000000</v>
      </c>
      <c r="H32" s="30">
        <v>85000000</v>
      </c>
      <c r="I32" s="30"/>
      <c r="J32" s="30"/>
      <c r="K32" s="30"/>
      <c r="L32" s="30"/>
      <c r="M32" s="30"/>
      <c r="N32" s="30"/>
      <c r="O32" s="30"/>
      <c r="P32" s="30"/>
      <c r="Q32" s="30">
        <f>SUM(H32:P32)</f>
        <v>85000000</v>
      </c>
      <c r="R32" s="74">
        <f t="shared" si="6"/>
        <v>0</v>
      </c>
    </row>
    <row r="33" spans="1:21" ht="19.7" customHeight="1" x14ac:dyDescent="0.2">
      <c r="B33" s="1866"/>
      <c r="C33" s="41" t="s">
        <v>24</v>
      </c>
      <c r="D33" s="29">
        <v>25000000</v>
      </c>
      <c r="E33" s="29"/>
      <c r="F33" s="29"/>
      <c r="G33" s="29">
        <f t="shared" si="4"/>
        <v>25000000</v>
      </c>
      <c r="H33" s="29">
        <v>25000000</v>
      </c>
      <c r="I33" s="29"/>
      <c r="J33" s="29"/>
      <c r="K33" s="29"/>
      <c r="L33" s="29"/>
      <c r="M33" s="29"/>
      <c r="N33" s="29"/>
      <c r="O33" s="29"/>
      <c r="P33" s="29"/>
      <c r="Q33" s="29">
        <f>SUM(H33:P33)</f>
        <v>25000000</v>
      </c>
      <c r="R33" s="74">
        <f t="shared" si="6"/>
        <v>0</v>
      </c>
    </row>
    <row r="34" spans="1:21" ht="26.1" customHeight="1" x14ac:dyDescent="0.2">
      <c r="A34" s="63" t="s">
        <v>246</v>
      </c>
      <c r="B34" s="1866" t="s">
        <v>250</v>
      </c>
      <c r="C34" s="17" t="s">
        <v>25</v>
      </c>
      <c r="D34" s="28">
        <f>SUM(D35:D36)</f>
        <v>134432040</v>
      </c>
      <c r="E34" s="28"/>
      <c r="F34" s="28">
        <f>+F35</f>
        <v>0</v>
      </c>
      <c r="G34" s="28">
        <f t="shared" si="4"/>
        <v>134432040</v>
      </c>
      <c r="H34" s="28">
        <f t="shared" ref="H34:Q34" si="9">SUM(H35:H36)</f>
        <v>134432040</v>
      </c>
      <c r="I34" s="28">
        <f t="shared" si="9"/>
        <v>0</v>
      </c>
      <c r="J34" s="28">
        <f t="shared" si="9"/>
        <v>0</v>
      </c>
      <c r="K34" s="28">
        <f t="shared" si="9"/>
        <v>0</v>
      </c>
      <c r="L34" s="28">
        <f t="shared" si="9"/>
        <v>0</v>
      </c>
      <c r="M34" s="28">
        <f t="shared" si="9"/>
        <v>0</v>
      </c>
      <c r="N34" s="28">
        <f t="shared" si="9"/>
        <v>0</v>
      </c>
      <c r="O34" s="28">
        <f t="shared" si="9"/>
        <v>0</v>
      </c>
      <c r="P34" s="28">
        <f t="shared" si="9"/>
        <v>0</v>
      </c>
      <c r="Q34" s="28">
        <f t="shared" si="9"/>
        <v>134432040</v>
      </c>
      <c r="R34" s="74">
        <f t="shared" si="6"/>
        <v>0</v>
      </c>
    </row>
    <row r="35" spans="1:21" ht="24" customHeight="1" x14ac:dyDescent="0.2">
      <c r="B35" s="1866"/>
      <c r="C35" s="42" t="s">
        <v>26</v>
      </c>
      <c r="D35" s="29">
        <v>62037176</v>
      </c>
      <c r="E35" s="29"/>
      <c r="F35" s="29"/>
      <c r="G35" s="29">
        <f t="shared" si="4"/>
        <v>62037176</v>
      </c>
      <c r="H35" s="29">
        <v>62037176</v>
      </c>
      <c r="I35" s="29"/>
      <c r="J35" s="29"/>
      <c r="K35" s="29"/>
      <c r="L35" s="29"/>
      <c r="M35" s="29"/>
      <c r="N35" s="29"/>
      <c r="O35" s="29"/>
      <c r="P35" s="29"/>
      <c r="Q35" s="29">
        <f>SUM(H35:P35)</f>
        <v>62037176</v>
      </c>
      <c r="R35" s="74">
        <f t="shared" si="6"/>
        <v>0</v>
      </c>
    </row>
    <row r="36" spans="1:21" ht="20.25" customHeight="1" x14ac:dyDescent="0.2">
      <c r="B36" s="1866"/>
      <c r="C36" s="16" t="s">
        <v>27</v>
      </c>
      <c r="D36" s="29">
        <v>72394864</v>
      </c>
      <c r="E36" s="29"/>
      <c r="F36" s="29"/>
      <c r="G36" s="29">
        <f t="shared" si="4"/>
        <v>72394864</v>
      </c>
      <c r="H36" s="29">
        <v>72394864</v>
      </c>
      <c r="I36" s="29"/>
      <c r="J36" s="29"/>
      <c r="K36" s="29"/>
      <c r="L36" s="29"/>
      <c r="M36" s="29"/>
      <c r="N36" s="29"/>
      <c r="O36" s="29"/>
      <c r="P36" s="29"/>
      <c r="Q36" s="29">
        <f>SUM(H36:P36)</f>
        <v>72394864</v>
      </c>
      <c r="R36" s="74">
        <f t="shared" si="6"/>
        <v>0</v>
      </c>
    </row>
    <row r="37" spans="1:21" s="86" customFormat="1" ht="19.7" customHeight="1" x14ac:dyDescent="0.2">
      <c r="A37" s="84"/>
      <c r="B37" s="85">
        <v>2</v>
      </c>
      <c r="C37" s="14" t="s">
        <v>28</v>
      </c>
      <c r="D37" s="27">
        <f>+D38</f>
        <v>91738427</v>
      </c>
      <c r="E37" s="27"/>
      <c r="F37" s="27">
        <f>+F38</f>
        <v>0</v>
      </c>
      <c r="G37" s="27">
        <f t="shared" si="4"/>
        <v>91738427</v>
      </c>
      <c r="H37" s="27">
        <f t="shared" ref="H37:Q37" si="10">+H38</f>
        <v>91738427</v>
      </c>
      <c r="I37" s="27">
        <f t="shared" si="10"/>
        <v>0</v>
      </c>
      <c r="J37" s="27">
        <f t="shared" si="10"/>
        <v>0</v>
      </c>
      <c r="K37" s="27">
        <f t="shared" si="10"/>
        <v>0</v>
      </c>
      <c r="L37" s="27">
        <f t="shared" si="10"/>
        <v>0</v>
      </c>
      <c r="M37" s="27">
        <f t="shared" si="10"/>
        <v>0</v>
      </c>
      <c r="N37" s="27">
        <f t="shared" si="10"/>
        <v>0</v>
      </c>
      <c r="O37" s="27">
        <f t="shared" si="10"/>
        <v>0</v>
      </c>
      <c r="P37" s="27">
        <f t="shared" si="10"/>
        <v>0</v>
      </c>
      <c r="Q37" s="27">
        <f t="shared" si="10"/>
        <v>91738427</v>
      </c>
      <c r="R37" s="74">
        <f t="shared" si="6"/>
        <v>0</v>
      </c>
    </row>
    <row r="38" spans="1:21" ht="26.1" customHeight="1" x14ac:dyDescent="0.2">
      <c r="A38" s="63" t="s">
        <v>251</v>
      </c>
      <c r="B38" s="1866" t="s">
        <v>252</v>
      </c>
      <c r="C38" s="17" t="s">
        <v>29</v>
      </c>
      <c r="D38" s="28">
        <f>SUM(D39:D41)</f>
        <v>91738427</v>
      </c>
      <c r="E38" s="28"/>
      <c r="F38" s="28">
        <f>SUM(F39:F41)</f>
        <v>0</v>
      </c>
      <c r="G38" s="28">
        <f t="shared" si="4"/>
        <v>91738427</v>
      </c>
      <c r="H38" s="28">
        <f t="shared" ref="H38:Q38" si="11">SUM(H39:H41)</f>
        <v>91738427</v>
      </c>
      <c r="I38" s="28">
        <f t="shared" si="11"/>
        <v>0</v>
      </c>
      <c r="J38" s="28">
        <f t="shared" si="11"/>
        <v>0</v>
      </c>
      <c r="K38" s="28">
        <f t="shared" si="11"/>
        <v>0</v>
      </c>
      <c r="L38" s="28">
        <f t="shared" si="11"/>
        <v>0</v>
      </c>
      <c r="M38" s="28">
        <f t="shared" si="11"/>
        <v>0</v>
      </c>
      <c r="N38" s="28">
        <f t="shared" si="11"/>
        <v>0</v>
      </c>
      <c r="O38" s="28">
        <f t="shared" si="11"/>
        <v>0</v>
      </c>
      <c r="P38" s="28">
        <f t="shared" si="11"/>
        <v>0</v>
      </c>
      <c r="Q38" s="28">
        <f t="shared" si="11"/>
        <v>91738427</v>
      </c>
      <c r="R38" s="74">
        <f t="shared" si="6"/>
        <v>0</v>
      </c>
    </row>
    <row r="39" spans="1:21" ht="15.95" customHeight="1" x14ac:dyDescent="0.2">
      <c r="B39" s="1866"/>
      <c r="C39" s="16" t="s">
        <v>30</v>
      </c>
      <c r="D39" s="1868">
        <v>61738427</v>
      </c>
      <c r="E39" s="29"/>
      <c r="F39" s="1868"/>
      <c r="G39" s="1868">
        <f t="shared" si="4"/>
        <v>61738427</v>
      </c>
      <c r="H39" s="1868">
        <v>61738427</v>
      </c>
      <c r="I39" s="1874"/>
      <c r="J39" s="1874"/>
      <c r="K39" s="1874"/>
      <c r="L39" s="1874"/>
      <c r="M39" s="1874"/>
      <c r="N39" s="1874"/>
      <c r="O39" s="1874"/>
      <c r="P39" s="1874"/>
      <c r="Q39" s="1868">
        <f>SUM(H39:P39)</f>
        <v>61738427</v>
      </c>
      <c r="R39" s="1875">
        <f t="shared" si="6"/>
        <v>0</v>
      </c>
      <c r="S39" s="63"/>
      <c r="T39" s="63"/>
    </row>
    <row r="40" spans="1:21" ht="18.95" customHeight="1" x14ac:dyDescent="0.2">
      <c r="B40" s="1866"/>
      <c r="C40" s="16" t="s">
        <v>253</v>
      </c>
      <c r="D40" s="1868"/>
      <c r="E40" s="29"/>
      <c r="F40" s="1868">
        <v>0</v>
      </c>
      <c r="G40" s="1868">
        <f t="shared" si="4"/>
        <v>0</v>
      </c>
      <c r="H40" s="1868"/>
      <c r="I40" s="1874"/>
      <c r="J40" s="1874"/>
      <c r="K40" s="1874"/>
      <c r="L40" s="1874"/>
      <c r="M40" s="1874"/>
      <c r="N40" s="1874"/>
      <c r="O40" s="1874"/>
      <c r="P40" s="1874"/>
      <c r="Q40" s="1868">
        <f>SUM(H40:P40)</f>
        <v>0</v>
      </c>
      <c r="R40" s="1875"/>
    </row>
    <row r="41" spans="1:21" ht="25.7" customHeight="1" x14ac:dyDescent="0.2">
      <c r="B41" s="1866"/>
      <c r="C41" s="41" t="s">
        <v>31</v>
      </c>
      <c r="D41" s="10">
        <v>30000000</v>
      </c>
      <c r="E41" s="10"/>
      <c r="F41" s="29"/>
      <c r="G41" s="29">
        <f t="shared" si="4"/>
        <v>30000000</v>
      </c>
      <c r="H41" s="29">
        <v>30000000</v>
      </c>
      <c r="I41" s="29"/>
      <c r="J41" s="29"/>
      <c r="K41" s="29"/>
      <c r="L41" s="29"/>
      <c r="M41" s="29"/>
      <c r="N41" s="29"/>
      <c r="O41" s="29"/>
      <c r="P41" s="29"/>
      <c r="Q41" s="29">
        <f>SUM(H41:P41)</f>
        <v>30000000</v>
      </c>
      <c r="R41" s="74">
        <f t="shared" ref="R41:R50" si="12">+G41-Q41</f>
        <v>0</v>
      </c>
      <c r="T41" s="87"/>
      <c r="U41" s="87"/>
    </row>
    <row r="42" spans="1:21" s="86" customFormat="1" ht="21.6" customHeight="1" x14ac:dyDescent="0.2">
      <c r="A42" s="84"/>
      <c r="B42" s="85">
        <v>3</v>
      </c>
      <c r="C42" s="14" t="s">
        <v>32</v>
      </c>
      <c r="D42" s="27">
        <f>+D43+D50+D54+D57+D61+D63</f>
        <v>4726785146</v>
      </c>
      <c r="E42" s="27">
        <f>+E43+E50+E54+E57+E61+E63</f>
        <v>0</v>
      </c>
      <c r="F42" s="27">
        <f>+F43+F50+F54+F57+F61+F63</f>
        <v>0</v>
      </c>
      <c r="G42" s="27">
        <f t="shared" si="4"/>
        <v>4726785146</v>
      </c>
      <c r="H42" s="27">
        <f t="shared" ref="H42:Q42" si="13">+H43+H50+H54+H57+H61+H63</f>
        <v>180716788</v>
      </c>
      <c r="I42" s="27">
        <f t="shared" si="13"/>
        <v>0</v>
      </c>
      <c r="J42" s="27">
        <f t="shared" si="13"/>
        <v>179012872</v>
      </c>
      <c r="K42" s="27">
        <f t="shared" si="13"/>
        <v>2455913137</v>
      </c>
      <c r="L42" s="27">
        <f t="shared" si="13"/>
        <v>224142349</v>
      </c>
      <c r="M42" s="27">
        <f t="shared" si="13"/>
        <v>940000000</v>
      </c>
      <c r="N42" s="27">
        <f t="shared" si="13"/>
        <v>0</v>
      </c>
      <c r="O42" s="27">
        <f t="shared" si="13"/>
        <v>747000000</v>
      </c>
      <c r="P42" s="27">
        <f t="shared" si="13"/>
        <v>0</v>
      </c>
      <c r="Q42" s="27">
        <f t="shared" si="13"/>
        <v>4726785146</v>
      </c>
      <c r="R42" s="74">
        <f t="shared" si="12"/>
        <v>0</v>
      </c>
      <c r="T42" s="88"/>
      <c r="U42" s="88"/>
    </row>
    <row r="43" spans="1:21" ht="26.1" customHeight="1" x14ac:dyDescent="0.2">
      <c r="A43" s="63" t="s">
        <v>254</v>
      </c>
      <c r="B43" s="53" t="s">
        <v>255</v>
      </c>
      <c r="C43" s="15" t="s">
        <v>33</v>
      </c>
      <c r="D43" s="28">
        <f>SUM(D44:D49)</f>
        <v>1119012872</v>
      </c>
      <c r="E43" s="28">
        <f>SUM(E44:E49)</f>
        <v>0</v>
      </c>
      <c r="F43" s="28">
        <f>SUM(F44:F49)</f>
        <v>0</v>
      </c>
      <c r="G43" s="28">
        <f t="shared" si="4"/>
        <v>1119012872</v>
      </c>
      <c r="H43" s="28">
        <f t="shared" ref="H43:Q43" si="14">SUM(H44:H49)</f>
        <v>0</v>
      </c>
      <c r="I43" s="28">
        <f t="shared" si="14"/>
        <v>0</v>
      </c>
      <c r="J43" s="28">
        <f t="shared" si="14"/>
        <v>179012872</v>
      </c>
      <c r="K43" s="28">
        <f t="shared" si="14"/>
        <v>0</v>
      </c>
      <c r="L43" s="28">
        <f t="shared" si="14"/>
        <v>0</v>
      </c>
      <c r="M43" s="28">
        <f t="shared" si="14"/>
        <v>940000000</v>
      </c>
      <c r="N43" s="28">
        <f t="shared" si="14"/>
        <v>0</v>
      </c>
      <c r="O43" s="28">
        <f t="shared" si="14"/>
        <v>0</v>
      </c>
      <c r="P43" s="28">
        <f t="shared" si="14"/>
        <v>0</v>
      </c>
      <c r="Q43" s="28">
        <f t="shared" si="14"/>
        <v>1119012872</v>
      </c>
      <c r="R43" s="74">
        <f t="shared" si="12"/>
        <v>0</v>
      </c>
    </row>
    <row r="44" spans="1:21" ht="22.5" x14ac:dyDescent="0.2">
      <c r="B44" s="53" t="s">
        <v>256</v>
      </c>
      <c r="C44" s="16" t="s">
        <v>34</v>
      </c>
      <c r="D44" s="29">
        <v>340000000</v>
      </c>
      <c r="E44" s="29"/>
      <c r="F44" s="29"/>
      <c r="G44" s="29">
        <f t="shared" si="4"/>
        <v>340000000</v>
      </c>
      <c r="H44" s="29"/>
      <c r="I44" s="29"/>
      <c r="J44" s="29"/>
      <c r="K44" s="29"/>
      <c r="L44" s="29"/>
      <c r="M44" s="29">
        <v>340000000</v>
      </c>
      <c r="N44" s="29"/>
      <c r="O44" s="29"/>
      <c r="P44" s="29"/>
      <c r="Q44" s="29">
        <f t="shared" ref="Q44:Q49" si="15">SUM(H44:P44)</f>
        <v>340000000</v>
      </c>
      <c r="R44" s="74">
        <f t="shared" si="12"/>
        <v>0</v>
      </c>
    </row>
    <row r="45" spans="1:21" ht="26.1" customHeight="1" x14ac:dyDescent="0.2">
      <c r="B45" s="53" t="s">
        <v>257</v>
      </c>
      <c r="C45" s="18" t="s">
        <v>35</v>
      </c>
      <c r="D45" s="29">
        <v>300000000</v>
      </c>
      <c r="E45" s="29"/>
      <c r="F45" s="29"/>
      <c r="G45" s="29">
        <f t="shared" si="4"/>
        <v>300000000</v>
      </c>
      <c r="H45" s="89"/>
      <c r="I45" s="29"/>
      <c r="J45" s="29"/>
      <c r="K45" s="29"/>
      <c r="L45" s="29"/>
      <c r="M45" s="29">
        <v>300000000</v>
      </c>
      <c r="N45" s="29"/>
      <c r="O45" s="29"/>
      <c r="P45" s="29"/>
      <c r="Q45" s="29">
        <f t="shared" si="15"/>
        <v>300000000</v>
      </c>
      <c r="R45" s="74">
        <f t="shared" si="12"/>
        <v>0</v>
      </c>
    </row>
    <row r="46" spans="1:21" ht="26.1" customHeight="1" x14ac:dyDescent="0.2">
      <c r="B46" s="53" t="s">
        <v>258</v>
      </c>
      <c r="C46" s="18" t="s">
        <v>36</v>
      </c>
      <c r="D46" s="29">
        <v>100000000</v>
      </c>
      <c r="E46" s="29"/>
      <c r="F46" s="29"/>
      <c r="G46" s="29">
        <f t="shared" si="4"/>
        <v>100000000</v>
      </c>
      <c r="H46" s="10"/>
      <c r="I46" s="29"/>
      <c r="J46" s="29"/>
      <c r="K46" s="29"/>
      <c r="L46" s="29"/>
      <c r="M46" s="29">
        <v>100000000</v>
      </c>
      <c r="N46" s="29"/>
      <c r="O46" s="29"/>
      <c r="P46" s="29"/>
      <c r="Q46" s="29">
        <f t="shared" si="15"/>
        <v>100000000</v>
      </c>
      <c r="R46" s="74">
        <f t="shared" si="12"/>
        <v>0</v>
      </c>
    </row>
    <row r="47" spans="1:21" ht="25.7" customHeight="1" x14ac:dyDescent="0.2">
      <c r="B47" s="53" t="s">
        <v>259</v>
      </c>
      <c r="C47" s="18" t="s">
        <v>37</v>
      </c>
      <c r="D47" s="29">
        <v>200000000</v>
      </c>
      <c r="E47" s="29"/>
      <c r="F47" s="29"/>
      <c r="G47" s="29">
        <f t="shared" si="4"/>
        <v>200000000</v>
      </c>
      <c r="H47" s="29"/>
      <c r="I47" s="29"/>
      <c r="J47" s="29"/>
      <c r="K47" s="29"/>
      <c r="L47" s="29"/>
      <c r="M47" s="29">
        <v>200000000</v>
      </c>
      <c r="N47" s="29"/>
      <c r="O47" s="29"/>
      <c r="P47" s="29"/>
      <c r="Q47" s="29">
        <f t="shared" si="15"/>
        <v>200000000</v>
      </c>
      <c r="R47" s="74">
        <f t="shared" si="12"/>
        <v>0</v>
      </c>
    </row>
    <row r="48" spans="1:21" ht="30" customHeight="1" x14ac:dyDescent="0.2">
      <c r="B48" s="53" t="s">
        <v>260</v>
      </c>
      <c r="C48" s="18" t="s">
        <v>38</v>
      </c>
      <c r="D48" s="29">
        <v>89506436</v>
      </c>
      <c r="E48" s="29"/>
      <c r="F48" s="29"/>
      <c r="G48" s="29">
        <f t="shared" si="4"/>
        <v>89506436</v>
      </c>
      <c r="H48" s="29"/>
      <c r="I48" s="29"/>
      <c r="J48" s="29">
        <v>89506436</v>
      </c>
      <c r="K48" s="29"/>
      <c r="L48" s="29"/>
      <c r="M48" s="29"/>
      <c r="N48" s="29"/>
      <c r="O48" s="29"/>
      <c r="P48" s="29"/>
      <c r="Q48" s="29">
        <f t="shared" si="15"/>
        <v>89506436</v>
      </c>
      <c r="R48" s="74">
        <f t="shared" si="12"/>
        <v>0</v>
      </c>
    </row>
    <row r="49" spans="1:20" ht="36" customHeight="1" x14ac:dyDescent="0.2">
      <c r="B49" s="53" t="s">
        <v>261</v>
      </c>
      <c r="C49" s="18" t="s">
        <v>39</v>
      </c>
      <c r="D49" s="29">
        <v>89506436</v>
      </c>
      <c r="E49" s="29"/>
      <c r="F49" s="29"/>
      <c r="G49" s="29">
        <f t="shared" si="4"/>
        <v>89506436</v>
      </c>
      <c r="H49" s="29"/>
      <c r="I49" s="29"/>
      <c r="J49" s="29">
        <v>89506436</v>
      </c>
      <c r="K49" s="29"/>
      <c r="L49" s="29"/>
      <c r="M49" s="29"/>
      <c r="N49" s="29"/>
      <c r="O49" s="29"/>
      <c r="P49" s="29"/>
      <c r="Q49" s="29">
        <f t="shared" si="15"/>
        <v>89506436</v>
      </c>
      <c r="R49" s="74">
        <f t="shared" si="12"/>
        <v>0</v>
      </c>
    </row>
    <row r="50" spans="1:20" ht="27.6" customHeight="1" x14ac:dyDescent="0.2">
      <c r="A50" s="63" t="s">
        <v>262</v>
      </c>
      <c r="B50" s="1867" t="s">
        <v>263</v>
      </c>
      <c r="C50" s="15" t="s">
        <v>264</v>
      </c>
      <c r="D50" s="28">
        <f>SUM(D51:D53)</f>
        <v>705758475</v>
      </c>
      <c r="E50" s="28">
        <f>SUM(E51:E53)</f>
        <v>0</v>
      </c>
      <c r="F50" s="28">
        <f>SUM(F51:F53)</f>
        <v>0</v>
      </c>
      <c r="G50" s="28">
        <f t="shared" si="4"/>
        <v>705758475</v>
      </c>
      <c r="H50" s="28">
        <f t="shared" ref="H50:Q50" si="16">SUM(H51:H53)</f>
        <v>0</v>
      </c>
      <c r="I50" s="28">
        <f t="shared" si="16"/>
        <v>0</v>
      </c>
      <c r="J50" s="28">
        <f t="shared" si="16"/>
        <v>0</v>
      </c>
      <c r="K50" s="28">
        <f t="shared" si="16"/>
        <v>545758475</v>
      </c>
      <c r="L50" s="28">
        <f t="shared" si="16"/>
        <v>0</v>
      </c>
      <c r="M50" s="28">
        <f t="shared" si="16"/>
        <v>0</v>
      </c>
      <c r="N50" s="28">
        <f t="shared" si="16"/>
        <v>0</v>
      </c>
      <c r="O50" s="28">
        <f t="shared" si="16"/>
        <v>160000000</v>
      </c>
      <c r="P50" s="28">
        <f t="shared" si="16"/>
        <v>0</v>
      </c>
      <c r="Q50" s="28">
        <f t="shared" si="16"/>
        <v>705758475</v>
      </c>
      <c r="R50" s="74">
        <f t="shared" si="12"/>
        <v>0</v>
      </c>
    </row>
    <row r="51" spans="1:20" ht="27.95" customHeight="1" x14ac:dyDescent="0.2">
      <c r="B51" s="1867"/>
      <c r="C51" s="16" t="s">
        <v>40</v>
      </c>
      <c r="D51" s="29">
        <v>489000000</v>
      </c>
      <c r="E51" s="29"/>
      <c r="F51" s="29"/>
      <c r="G51" s="29">
        <f t="shared" si="4"/>
        <v>489000000</v>
      </c>
      <c r="H51" s="29"/>
      <c r="I51" s="29"/>
      <c r="J51" s="29"/>
      <c r="K51" s="1874">
        <v>545758475</v>
      </c>
      <c r="L51" s="29"/>
      <c r="M51" s="29"/>
      <c r="N51" s="29"/>
      <c r="O51" s="1876">
        <v>160000000</v>
      </c>
      <c r="P51" s="29"/>
      <c r="Q51" s="1868">
        <f>SUM(H51:P51)</f>
        <v>705758475</v>
      </c>
      <c r="R51" s="1873">
        <f>+G51+G52+G53-Q51</f>
        <v>0</v>
      </c>
    </row>
    <row r="52" spans="1:20" ht="26.1" customHeight="1" x14ac:dyDescent="0.2">
      <c r="B52" s="1867"/>
      <c r="C52" s="16" t="s">
        <v>41</v>
      </c>
      <c r="D52" s="29">
        <v>141758475</v>
      </c>
      <c r="E52" s="29"/>
      <c r="F52" s="29"/>
      <c r="G52" s="29">
        <f t="shared" si="4"/>
        <v>141758475</v>
      </c>
      <c r="H52" s="29"/>
      <c r="I52" s="29"/>
      <c r="J52" s="29"/>
      <c r="K52" s="1874"/>
      <c r="L52" s="29"/>
      <c r="M52" s="29"/>
      <c r="N52" s="29"/>
      <c r="O52" s="1876"/>
      <c r="P52" s="29"/>
      <c r="Q52" s="1868"/>
      <c r="R52" s="1873"/>
    </row>
    <row r="53" spans="1:20" ht="18.95" customHeight="1" x14ac:dyDescent="0.2">
      <c r="B53" s="1867"/>
      <c r="C53" s="16" t="s">
        <v>42</v>
      </c>
      <c r="D53" s="29">
        <v>75000000</v>
      </c>
      <c r="E53" s="29"/>
      <c r="F53" s="29"/>
      <c r="G53" s="29">
        <f t="shared" si="4"/>
        <v>75000000</v>
      </c>
      <c r="H53" s="29"/>
      <c r="I53" s="29"/>
      <c r="J53" s="29"/>
      <c r="K53" s="1874"/>
      <c r="L53" s="29"/>
      <c r="M53" s="29"/>
      <c r="N53" s="29"/>
      <c r="O53" s="1876"/>
      <c r="P53" s="29"/>
      <c r="Q53" s="1868"/>
      <c r="R53" s="1873"/>
    </row>
    <row r="54" spans="1:20" ht="22.7" customHeight="1" x14ac:dyDescent="0.2">
      <c r="A54" s="63" t="s">
        <v>265</v>
      </c>
      <c r="B54" s="1867" t="s">
        <v>266</v>
      </c>
      <c r="C54" s="15" t="s">
        <v>43</v>
      </c>
      <c r="D54" s="28">
        <f>SUM(D55:D56)</f>
        <v>2117275425</v>
      </c>
      <c r="E54" s="28">
        <f>SUM(E55:E56)</f>
        <v>0</v>
      </c>
      <c r="F54" s="28">
        <f>SUM(F55:F56)</f>
        <v>0</v>
      </c>
      <c r="G54" s="28">
        <f t="shared" si="4"/>
        <v>2117275425</v>
      </c>
      <c r="H54" s="28">
        <f t="shared" ref="H54:Q54" si="17">SUM(H55:H56)</f>
        <v>0</v>
      </c>
      <c r="I54" s="28">
        <f t="shared" si="17"/>
        <v>0</v>
      </c>
      <c r="J54" s="28">
        <f t="shared" si="17"/>
        <v>0</v>
      </c>
      <c r="K54" s="28">
        <f t="shared" si="17"/>
        <v>1637275425</v>
      </c>
      <c r="L54" s="28">
        <f t="shared" si="17"/>
        <v>0</v>
      </c>
      <c r="M54" s="28">
        <f t="shared" si="17"/>
        <v>0</v>
      </c>
      <c r="N54" s="28">
        <f t="shared" si="17"/>
        <v>0</v>
      </c>
      <c r="O54" s="28">
        <f t="shared" si="17"/>
        <v>480000000</v>
      </c>
      <c r="P54" s="28">
        <f t="shared" si="17"/>
        <v>0</v>
      </c>
      <c r="Q54" s="28">
        <f t="shared" si="17"/>
        <v>2117275425</v>
      </c>
      <c r="R54" s="74">
        <f>+G54-Q54</f>
        <v>0</v>
      </c>
    </row>
    <row r="55" spans="1:20" ht="35.25" customHeight="1" x14ac:dyDescent="0.2">
      <c r="B55" s="1867"/>
      <c r="C55" s="16" t="s">
        <v>44</v>
      </c>
      <c r="D55" s="29">
        <v>352879237</v>
      </c>
      <c r="E55" s="29"/>
      <c r="F55" s="29"/>
      <c r="G55" s="29">
        <f t="shared" si="4"/>
        <v>352879237</v>
      </c>
      <c r="H55" s="29"/>
      <c r="I55" s="29"/>
      <c r="J55" s="29"/>
      <c r="K55" s="29">
        <v>272879237</v>
      </c>
      <c r="L55" s="29"/>
      <c r="M55" s="29"/>
      <c r="N55" s="29"/>
      <c r="O55" s="29">
        <v>80000000</v>
      </c>
      <c r="P55" s="29"/>
      <c r="Q55" s="29">
        <f>SUM(H55:P55)</f>
        <v>352879237</v>
      </c>
      <c r="R55" s="74">
        <f>+G55-Q55</f>
        <v>0</v>
      </c>
    </row>
    <row r="56" spans="1:20" ht="37.700000000000003" customHeight="1" x14ac:dyDescent="0.2">
      <c r="B56" s="1867"/>
      <c r="C56" s="16" t="s">
        <v>45</v>
      </c>
      <c r="D56" s="29">
        <v>1764396188</v>
      </c>
      <c r="E56" s="29"/>
      <c r="F56" s="29"/>
      <c r="G56" s="29">
        <f t="shared" si="4"/>
        <v>1764396188</v>
      </c>
      <c r="H56" s="29"/>
      <c r="I56" s="29"/>
      <c r="J56" s="29"/>
      <c r="K56" s="29">
        <v>1364396188</v>
      </c>
      <c r="L56" s="29"/>
      <c r="M56" s="29"/>
      <c r="N56" s="29"/>
      <c r="O56" s="29">
        <v>400000000</v>
      </c>
      <c r="P56" s="29"/>
      <c r="Q56" s="29">
        <f>SUM(H56:P56)</f>
        <v>1764396188</v>
      </c>
      <c r="R56" s="74">
        <f>+G56-Q56</f>
        <v>0</v>
      </c>
    </row>
    <row r="57" spans="1:20" ht="21.6" customHeight="1" x14ac:dyDescent="0.2">
      <c r="A57" s="63" t="s">
        <v>267</v>
      </c>
      <c r="B57" s="1867" t="s">
        <v>268</v>
      </c>
      <c r="C57" s="15" t="s">
        <v>46</v>
      </c>
      <c r="D57" s="28">
        <f>SUM(D58:D60)</f>
        <v>352879237</v>
      </c>
      <c r="E57" s="28">
        <f>SUM(E58:E60)</f>
        <v>0</v>
      </c>
      <c r="F57" s="28">
        <f>SUM(F58:F60)</f>
        <v>0</v>
      </c>
      <c r="G57" s="28">
        <f t="shared" si="4"/>
        <v>352879237</v>
      </c>
      <c r="H57" s="28">
        <f t="shared" ref="H57:Q57" si="18">SUM(H58:H60)</f>
        <v>0</v>
      </c>
      <c r="I57" s="28">
        <f t="shared" si="18"/>
        <v>0</v>
      </c>
      <c r="J57" s="28">
        <f t="shared" si="18"/>
        <v>0</v>
      </c>
      <c r="K57" s="28">
        <f t="shared" si="18"/>
        <v>272879237</v>
      </c>
      <c r="L57" s="28">
        <f t="shared" si="18"/>
        <v>0</v>
      </c>
      <c r="M57" s="28">
        <f t="shared" si="18"/>
        <v>0</v>
      </c>
      <c r="N57" s="28">
        <f t="shared" si="18"/>
        <v>0</v>
      </c>
      <c r="O57" s="28">
        <f t="shared" si="18"/>
        <v>80000000</v>
      </c>
      <c r="P57" s="28">
        <f t="shared" si="18"/>
        <v>0</v>
      </c>
      <c r="Q57" s="28">
        <f t="shared" si="18"/>
        <v>352879237</v>
      </c>
      <c r="R57" s="74">
        <f>+G57-Q57</f>
        <v>0</v>
      </c>
    </row>
    <row r="58" spans="1:20" ht="15.6" customHeight="1" x14ac:dyDescent="0.2">
      <c r="B58" s="1867"/>
      <c r="C58" s="16" t="s">
        <v>47</v>
      </c>
      <c r="D58" s="29">
        <v>140379237</v>
      </c>
      <c r="E58" s="29"/>
      <c r="F58" s="29"/>
      <c r="G58" s="29">
        <f t="shared" ref="G58:G88" si="19">SUM(D58:F58)</f>
        <v>140379237</v>
      </c>
      <c r="H58" s="29"/>
      <c r="I58" s="29"/>
      <c r="J58" s="29"/>
      <c r="K58" s="1874">
        <v>272879237</v>
      </c>
      <c r="L58" s="29"/>
      <c r="M58" s="29"/>
      <c r="N58" s="29"/>
      <c r="O58" s="1868">
        <v>80000000</v>
      </c>
      <c r="P58" s="29"/>
      <c r="Q58" s="1868">
        <f>SUM(H58:P58)</f>
        <v>352879237</v>
      </c>
      <c r="R58" s="1873">
        <f>+G58+G59+G60-Q58</f>
        <v>0</v>
      </c>
    </row>
    <row r="59" spans="1:20" ht="14.25" customHeight="1" x14ac:dyDescent="0.2">
      <c r="B59" s="1867"/>
      <c r="C59" s="16" t="s">
        <v>48</v>
      </c>
      <c r="D59" s="29">
        <v>172500000</v>
      </c>
      <c r="E59" s="29"/>
      <c r="F59" s="29"/>
      <c r="G59" s="29">
        <f t="shared" si="19"/>
        <v>172500000</v>
      </c>
      <c r="H59" s="29"/>
      <c r="I59" s="29"/>
      <c r="J59" s="29"/>
      <c r="K59" s="1874"/>
      <c r="L59" s="29"/>
      <c r="M59" s="29"/>
      <c r="N59" s="29"/>
      <c r="O59" s="1868"/>
      <c r="P59" s="29"/>
      <c r="Q59" s="1868"/>
      <c r="R59" s="1873"/>
    </row>
    <row r="60" spans="1:20" ht="26.1" customHeight="1" x14ac:dyDescent="0.2">
      <c r="B60" s="1867"/>
      <c r="C60" s="16" t="s">
        <v>49</v>
      </c>
      <c r="D60" s="29">
        <v>40000000</v>
      </c>
      <c r="E60" s="29"/>
      <c r="F60" s="29"/>
      <c r="G60" s="29">
        <f t="shared" si="19"/>
        <v>40000000</v>
      </c>
      <c r="H60" s="29"/>
      <c r="I60" s="29"/>
      <c r="J60" s="29"/>
      <c r="K60" s="1874"/>
      <c r="L60" s="29"/>
      <c r="M60" s="29"/>
      <c r="N60" s="29"/>
      <c r="O60" s="1868"/>
      <c r="P60" s="29"/>
      <c r="Q60" s="1868"/>
      <c r="R60" s="1873"/>
    </row>
    <row r="61" spans="1:20" ht="33.950000000000003" customHeight="1" x14ac:dyDescent="0.2">
      <c r="A61" s="63" t="s">
        <v>269</v>
      </c>
      <c r="B61" s="1867" t="s">
        <v>270</v>
      </c>
      <c r="C61" s="15" t="s">
        <v>50</v>
      </c>
      <c r="D61" s="28">
        <f>+D62</f>
        <v>208621494</v>
      </c>
      <c r="E61" s="28">
        <f>+E62</f>
        <v>0</v>
      </c>
      <c r="F61" s="28">
        <f>+F62</f>
        <v>0</v>
      </c>
      <c r="G61" s="28">
        <f t="shared" si="19"/>
        <v>208621494</v>
      </c>
      <c r="H61" s="28">
        <f t="shared" ref="H61:Q61" si="20">+H62</f>
        <v>180716788</v>
      </c>
      <c r="I61" s="28">
        <f t="shared" si="20"/>
        <v>0</v>
      </c>
      <c r="J61" s="28">
        <f t="shared" si="20"/>
        <v>0</v>
      </c>
      <c r="K61" s="28">
        <f t="shared" si="20"/>
        <v>0</v>
      </c>
      <c r="L61" s="28">
        <f t="shared" si="20"/>
        <v>24904706</v>
      </c>
      <c r="M61" s="28">
        <f t="shared" si="20"/>
        <v>0</v>
      </c>
      <c r="N61" s="28">
        <f t="shared" si="20"/>
        <v>0</v>
      </c>
      <c r="O61" s="28">
        <f t="shared" si="20"/>
        <v>3000000</v>
      </c>
      <c r="P61" s="28">
        <f t="shared" si="20"/>
        <v>0</v>
      </c>
      <c r="Q61" s="28">
        <f t="shared" si="20"/>
        <v>208621494</v>
      </c>
      <c r="R61" s="74">
        <f t="shared" ref="R61:R89" si="21">+G61-Q61</f>
        <v>0</v>
      </c>
    </row>
    <row r="62" spans="1:20" ht="19.7" customHeight="1" x14ac:dyDescent="0.2">
      <c r="B62" s="1867"/>
      <c r="C62" s="16" t="s">
        <v>51</v>
      </c>
      <c r="D62" s="29">
        <v>208621494</v>
      </c>
      <c r="E62" s="29"/>
      <c r="F62" s="29"/>
      <c r="G62" s="29">
        <f t="shared" si="19"/>
        <v>208621494</v>
      </c>
      <c r="H62" s="29">
        <v>180716788</v>
      </c>
      <c r="I62" s="29"/>
      <c r="J62" s="29"/>
      <c r="K62" s="29"/>
      <c r="L62" s="29">
        <v>24904706</v>
      </c>
      <c r="M62" s="29"/>
      <c r="N62" s="29"/>
      <c r="O62" s="29">
        <v>3000000</v>
      </c>
      <c r="P62" s="29"/>
      <c r="Q62" s="29">
        <f>SUM(H62:P62)</f>
        <v>208621494</v>
      </c>
      <c r="R62" s="74">
        <f t="shared" si="21"/>
        <v>0</v>
      </c>
    </row>
    <row r="63" spans="1:20" ht="43.7" customHeight="1" x14ac:dyDescent="0.2">
      <c r="A63" s="63" t="s">
        <v>271</v>
      </c>
      <c r="B63" s="1867" t="s">
        <v>272</v>
      </c>
      <c r="C63" s="15" t="s">
        <v>52</v>
      </c>
      <c r="D63" s="28">
        <f>+D64</f>
        <v>223237643</v>
      </c>
      <c r="E63" s="28">
        <f>+E64</f>
        <v>0</v>
      </c>
      <c r="F63" s="28">
        <f>+F64</f>
        <v>0</v>
      </c>
      <c r="G63" s="28">
        <f t="shared" si="19"/>
        <v>223237643</v>
      </c>
      <c r="H63" s="28">
        <f t="shared" ref="H63:Q63" si="22">+H64</f>
        <v>0</v>
      </c>
      <c r="I63" s="28">
        <f t="shared" si="22"/>
        <v>0</v>
      </c>
      <c r="J63" s="28">
        <f t="shared" si="22"/>
        <v>0</v>
      </c>
      <c r="K63" s="28">
        <f t="shared" si="22"/>
        <v>0</v>
      </c>
      <c r="L63" s="28">
        <f t="shared" si="22"/>
        <v>199237643</v>
      </c>
      <c r="M63" s="28">
        <f t="shared" si="22"/>
        <v>0</v>
      </c>
      <c r="N63" s="28">
        <f t="shared" si="22"/>
        <v>0</v>
      </c>
      <c r="O63" s="28">
        <f t="shared" si="22"/>
        <v>24000000</v>
      </c>
      <c r="P63" s="28">
        <f t="shared" si="22"/>
        <v>0</v>
      </c>
      <c r="Q63" s="28">
        <f t="shared" si="22"/>
        <v>223237643</v>
      </c>
      <c r="R63" s="74">
        <f t="shared" si="21"/>
        <v>0</v>
      </c>
    </row>
    <row r="64" spans="1:20" ht="24.6" customHeight="1" x14ac:dyDescent="0.2">
      <c r="B64" s="1867"/>
      <c r="C64" s="16" t="s">
        <v>53</v>
      </c>
      <c r="D64" s="29">
        <v>223237643</v>
      </c>
      <c r="E64" s="29"/>
      <c r="F64" s="10"/>
      <c r="G64" s="29">
        <f t="shared" si="19"/>
        <v>223237643</v>
      </c>
      <c r="H64" s="29"/>
      <c r="I64" s="29">
        <v>0</v>
      </c>
      <c r="J64" s="29"/>
      <c r="K64" s="29"/>
      <c r="L64" s="29">
        <v>199237643</v>
      </c>
      <c r="M64" s="29"/>
      <c r="N64" s="29"/>
      <c r="O64" s="29">
        <v>24000000</v>
      </c>
      <c r="P64" s="29"/>
      <c r="Q64" s="29">
        <f>SUM(H64:P64)</f>
        <v>223237643</v>
      </c>
      <c r="R64" s="74">
        <f t="shared" si="21"/>
        <v>0</v>
      </c>
      <c r="S64" s="90"/>
      <c r="T64" s="90"/>
    </row>
    <row r="65" spans="1:20" s="86" customFormat="1" ht="26.1" customHeight="1" x14ac:dyDescent="0.2">
      <c r="A65" s="84"/>
      <c r="B65" s="85">
        <v>4</v>
      </c>
      <c r="C65" s="14" t="s">
        <v>54</v>
      </c>
      <c r="D65" s="27">
        <f>+D66+D71+D74</f>
        <v>1910000000</v>
      </c>
      <c r="E65" s="27">
        <f>+E66+E71+E74</f>
        <v>812000000</v>
      </c>
      <c r="F65" s="27">
        <f>+F66+F71+F74</f>
        <v>0</v>
      </c>
      <c r="G65" s="27">
        <f t="shared" si="19"/>
        <v>2722000000</v>
      </c>
      <c r="H65" s="27">
        <f t="shared" ref="H65:Q65" si="23">+H66+H71+H74</f>
        <v>771156339</v>
      </c>
      <c r="I65" s="27">
        <f t="shared" si="23"/>
        <v>948843661</v>
      </c>
      <c r="J65" s="27">
        <f t="shared" si="23"/>
        <v>0</v>
      </c>
      <c r="K65" s="27">
        <f t="shared" si="23"/>
        <v>0</v>
      </c>
      <c r="L65" s="27">
        <f t="shared" si="23"/>
        <v>0</v>
      </c>
      <c r="M65" s="27">
        <f t="shared" si="23"/>
        <v>190000000</v>
      </c>
      <c r="N65" s="27">
        <f t="shared" si="23"/>
        <v>812000000</v>
      </c>
      <c r="O65" s="27">
        <f t="shared" si="23"/>
        <v>0</v>
      </c>
      <c r="P65" s="27">
        <f t="shared" si="23"/>
        <v>0</v>
      </c>
      <c r="Q65" s="27">
        <f t="shared" si="23"/>
        <v>2722000000</v>
      </c>
      <c r="R65" s="74">
        <f t="shared" si="21"/>
        <v>0</v>
      </c>
      <c r="S65" s="88"/>
      <c r="T65" s="88"/>
    </row>
    <row r="66" spans="1:20" ht="20.25" customHeight="1" x14ac:dyDescent="0.2">
      <c r="A66" s="63" t="s">
        <v>273</v>
      </c>
      <c r="B66" s="53" t="s">
        <v>274</v>
      </c>
      <c r="C66" s="19" t="s">
        <v>55</v>
      </c>
      <c r="D66" s="31">
        <f>SUM(D67:D70)</f>
        <v>500000000</v>
      </c>
      <c r="E66" s="31">
        <f>SUM(E67:E70)</f>
        <v>312000000</v>
      </c>
      <c r="F66" s="31">
        <f>SUM(F67:F70)</f>
        <v>0</v>
      </c>
      <c r="G66" s="28">
        <f t="shared" si="19"/>
        <v>812000000</v>
      </c>
      <c r="H66" s="31">
        <f t="shared" ref="H66:Q66" si="24">SUM(H67:H70)</f>
        <v>500000000</v>
      </c>
      <c r="I66" s="31">
        <f t="shared" si="24"/>
        <v>0</v>
      </c>
      <c r="J66" s="31">
        <f t="shared" si="24"/>
        <v>0</v>
      </c>
      <c r="K66" s="31">
        <f t="shared" si="24"/>
        <v>0</v>
      </c>
      <c r="L66" s="31">
        <f t="shared" si="24"/>
        <v>0</v>
      </c>
      <c r="M66" s="31">
        <f t="shared" si="24"/>
        <v>0</v>
      </c>
      <c r="N66" s="31">
        <f t="shared" si="24"/>
        <v>312000000</v>
      </c>
      <c r="O66" s="31">
        <f t="shared" si="24"/>
        <v>0</v>
      </c>
      <c r="P66" s="31">
        <f t="shared" si="24"/>
        <v>0</v>
      </c>
      <c r="Q66" s="31">
        <f t="shared" si="24"/>
        <v>812000000</v>
      </c>
      <c r="R66" s="74">
        <f t="shared" si="21"/>
        <v>0</v>
      </c>
    </row>
    <row r="67" spans="1:20" ht="24.6" customHeight="1" x14ac:dyDescent="0.2">
      <c r="B67" s="53" t="s">
        <v>275</v>
      </c>
      <c r="C67" s="16" t="s">
        <v>56</v>
      </c>
      <c r="D67" s="29">
        <v>130000000</v>
      </c>
      <c r="E67" s="29"/>
      <c r="F67" s="29"/>
      <c r="G67" s="29">
        <f t="shared" si="19"/>
        <v>130000000</v>
      </c>
      <c r="H67" s="29">
        <v>130000000</v>
      </c>
      <c r="I67" s="29"/>
      <c r="J67" s="29"/>
      <c r="K67" s="29"/>
      <c r="L67" s="29"/>
      <c r="M67" s="29"/>
      <c r="N67" s="29"/>
      <c r="O67" s="29"/>
      <c r="P67" s="29"/>
      <c r="Q67" s="29">
        <f>SUM(H67:P67)</f>
        <v>130000000</v>
      </c>
      <c r="R67" s="74">
        <f t="shared" si="21"/>
        <v>0</v>
      </c>
    </row>
    <row r="68" spans="1:20" ht="36" customHeight="1" x14ac:dyDescent="0.2">
      <c r="B68" s="53" t="s">
        <v>276</v>
      </c>
      <c r="C68" s="20" t="s">
        <v>57</v>
      </c>
      <c r="D68" s="29">
        <v>70000000</v>
      </c>
      <c r="E68" s="29"/>
      <c r="F68" s="29"/>
      <c r="G68" s="29">
        <f t="shared" si="19"/>
        <v>70000000</v>
      </c>
      <c r="H68" s="29">
        <v>70000000</v>
      </c>
      <c r="I68" s="29"/>
      <c r="J68" s="29"/>
      <c r="K68" s="29"/>
      <c r="L68" s="29"/>
      <c r="M68" s="29"/>
      <c r="N68" s="29"/>
      <c r="O68" s="29"/>
      <c r="P68" s="29"/>
      <c r="Q68" s="29">
        <f>SUM(H68:O68)</f>
        <v>70000000</v>
      </c>
      <c r="R68" s="74">
        <f t="shared" si="21"/>
        <v>0</v>
      </c>
    </row>
    <row r="69" spans="1:20" ht="36" customHeight="1" x14ac:dyDescent="0.2">
      <c r="B69" s="47" t="s">
        <v>277</v>
      </c>
      <c r="C69" s="21" t="s">
        <v>58</v>
      </c>
      <c r="D69" s="29">
        <v>300000000</v>
      </c>
      <c r="E69" s="29"/>
      <c r="F69" s="10"/>
      <c r="G69" s="29">
        <f t="shared" si="19"/>
        <v>300000000</v>
      </c>
      <c r="H69" s="10">
        <v>300000000</v>
      </c>
      <c r="I69" s="89"/>
      <c r="J69" s="29"/>
      <c r="K69" s="29"/>
      <c r="L69" s="29"/>
      <c r="M69" s="29"/>
      <c r="N69" s="29"/>
      <c r="O69" s="29"/>
      <c r="P69" s="29"/>
      <c r="Q69" s="29">
        <f>SUM(H69:P69)</f>
        <v>300000000</v>
      </c>
      <c r="R69" s="74">
        <f t="shared" si="21"/>
        <v>0</v>
      </c>
    </row>
    <row r="70" spans="1:20" ht="24.6" customHeight="1" x14ac:dyDescent="0.2">
      <c r="B70" s="47" t="s">
        <v>278</v>
      </c>
      <c r="C70" s="21" t="s">
        <v>59</v>
      </c>
      <c r="D70" s="91">
        <v>0</v>
      </c>
      <c r="E70" s="91">
        <v>312000000</v>
      </c>
      <c r="F70" s="10"/>
      <c r="G70" s="29">
        <f t="shared" si="19"/>
        <v>312000000</v>
      </c>
      <c r="H70" s="10"/>
      <c r="I70" s="89"/>
      <c r="J70" s="29"/>
      <c r="K70" s="29"/>
      <c r="L70" s="29"/>
      <c r="M70" s="29"/>
      <c r="N70" s="29">
        <v>312000000</v>
      </c>
      <c r="O70" s="29"/>
      <c r="P70" s="29"/>
      <c r="Q70" s="29">
        <f>SUM(H70:P70)</f>
        <v>312000000</v>
      </c>
      <c r="R70" s="74">
        <f t="shared" si="21"/>
        <v>0</v>
      </c>
    </row>
    <row r="71" spans="1:20" ht="18.95" customHeight="1" x14ac:dyDescent="0.2">
      <c r="A71" s="63" t="s">
        <v>273</v>
      </c>
      <c r="B71" s="53" t="s">
        <v>279</v>
      </c>
      <c r="C71" s="19" t="s">
        <v>60</v>
      </c>
      <c r="D71" s="31">
        <f>SUM(D72:D73)</f>
        <v>390000000</v>
      </c>
      <c r="E71" s="31">
        <f>SUM(E72:E73)</f>
        <v>500000000</v>
      </c>
      <c r="F71" s="31">
        <f>SUM(F72:F73)</f>
        <v>0</v>
      </c>
      <c r="G71" s="28">
        <f t="shared" si="19"/>
        <v>890000000</v>
      </c>
      <c r="H71" s="31">
        <f t="shared" ref="H71:Q71" si="25">SUM(H72:H73)</f>
        <v>271156339</v>
      </c>
      <c r="I71" s="31">
        <f t="shared" si="25"/>
        <v>118843661</v>
      </c>
      <c r="J71" s="31">
        <f t="shared" si="25"/>
        <v>0</v>
      </c>
      <c r="K71" s="31">
        <f t="shared" si="25"/>
        <v>0</v>
      </c>
      <c r="L71" s="31">
        <f t="shared" si="25"/>
        <v>0</v>
      </c>
      <c r="M71" s="31">
        <f t="shared" si="25"/>
        <v>0</v>
      </c>
      <c r="N71" s="31">
        <f t="shared" si="25"/>
        <v>500000000</v>
      </c>
      <c r="O71" s="31">
        <f t="shared" si="25"/>
        <v>0</v>
      </c>
      <c r="P71" s="31">
        <f t="shared" si="25"/>
        <v>0</v>
      </c>
      <c r="Q71" s="31">
        <f t="shared" si="25"/>
        <v>890000000</v>
      </c>
      <c r="R71" s="74">
        <f t="shared" si="21"/>
        <v>0</v>
      </c>
    </row>
    <row r="72" spans="1:20" ht="24.95" customHeight="1" x14ac:dyDescent="0.2">
      <c r="B72" s="53" t="s">
        <v>280</v>
      </c>
      <c r="C72" s="16" t="s">
        <v>61</v>
      </c>
      <c r="D72" s="29">
        <v>250000000</v>
      </c>
      <c r="E72" s="29">
        <v>500000000</v>
      </c>
      <c r="F72" s="29"/>
      <c r="G72" s="29">
        <f t="shared" si="19"/>
        <v>750000000</v>
      </c>
      <c r="H72" s="29">
        <v>250000000</v>
      </c>
      <c r="I72" s="29"/>
      <c r="J72" s="29"/>
      <c r="K72" s="29"/>
      <c r="L72" s="29"/>
      <c r="M72" s="29"/>
      <c r="N72" s="29">
        <v>500000000</v>
      </c>
      <c r="O72" s="29"/>
      <c r="P72" s="29"/>
      <c r="Q72" s="29">
        <f>SUM(H72:O72)</f>
        <v>750000000</v>
      </c>
      <c r="R72" s="74">
        <f t="shared" si="21"/>
        <v>0</v>
      </c>
    </row>
    <row r="73" spans="1:20" ht="36.6" customHeight="1" x14ac:dyDescent="0.2">
      <c r="B73" s="53" t="s">
        <v>281</v>
      </c>
      <c r="C73" s="16" t="s">
        <v>62</v>
      </c>
      <c r="D73" s="29">
        <v>140000000</v>
      </c>
      <c r="E73" s="29"/>
      <c r="F73" s="29"/>
      <c r="G73" s="29">
        <f t="shared" si="19"/>
        <v>140000000</v>
      </c>
      <c r="H73" s="29">
        <v>21156339</v>
      </c>
      <c r="I73" s="29">
        <v>118843661</v>
      </c>
      <c r="J73" s="29"/>
      <c r="K73" s="29"/>
      <c r="L73" s="29"/>
      <c r="M73" s="29"/>
      <c r="N73" s="29"/>
      <c r="O73" s="29"/>
      <c r="P73" s="29"/>
      <c r="Q73" s="29">
        <f>SUM(H73:O73)</f>
        <v>140000000</v>
      </c>
      <c r="R73" s="74">
        <f t="shared" si="21"/>
        <v>0</v>
      </c>
    </row>
    <row r="74" spans="1:20" ht="21.95" customHeight="1" x14ac:dyDescent="0.2">
      <c r="A74" s="63" t="s">
        <v>273</v>
      </c>
      <c r="B74" s="53" t="s">
        <v>282</v>
      </c>
      <c r="C74" s="19" t="s">
        <v>63</v>
      </c>
      <c r="D74" s="31">
        <f>SUM(D75:D82)</f>
        <v>1020000000</v>
      </c>
      <c r="E74" s="31">
        <f>SUM(E75:E82)</f>
        <v>0</v>
      </c>
      <c r="F74" s="31">
        <f>SUM(F75:F81)</f>
        <v>0</v>
      </c>
      <c r="G74" s="28">
        <f t="shared" si="19"/>
        <v>1020000000</v>
      </c>
      <c r="H74" s="31">
        <f t="shared" ref="H74:Q74" si="26">SUM(H75:H82)</f>
        <v>0</v>
      </c>
      <c r="I74" s="31">
        <f t="shared" si="26"/>
        <v>830000000</v>
      </c>
      <c r="J74" s="31">
        <f t="shared" si="26"/>
        <v>0</v>
      </c>
      <c r="K74" s="31">
        <f t="shared" si="26"/>
        <v>0</v>
      </c>
      <c r="L74" s="31">
        <f t="shared" si="26"/>
        <v>0</v>
      </c>
      <c r="M74" s="31">
        <f t="shared" si="26"/>
        <v>190000000</v>
      </c>
      <c r="N74" s="31">
        <f t="shared" si="26"/>
        <v>0</v>
      </c>
      <c r="O74" s="31">
        <f t="shared" si="26"/>
        <v>0</v>
      </c>
      <c r="P74" s="31">
        <f t="shared" si="26"/>
        <v>0</v>
      </c>
      <c r="Q74" s="31">
        <f t="shared" si="26"/>
        <v>1020000000</v>
      </c>
      <c r="R74" s="74">
        <f t="shared" si="21"/>
        <v>0</v>
      </c>
    </row>
    <row r="75" spans="1:20" ht="36.6" customHeight="1" x14ac:dyDescent="0.2">
      <c r="B75" s="53" t="s">
        <v>283</v>
      </c>
      <c r="C75" s="16" t="s">
        <v>64</v>
      </c>
      <c r="D75" s="29">
        <v>120000000</v>
      </c>
      <c r="E75" s="29"/>
      <c r="F75" s="29"/>
      <c r="G75" s="29">
        <f t="shared" si="19"/>
        <v>120000000</v>
      </c>
      <c r="H75" s="29"/>
      <c r="I75" s="29"/>
      <c r="J75" s="29"/>
      <c r="K75" s="29"/>
      <c r="L75" s="29"/>
      <c r="M75" s="29">
        <v>120000000</v>
      </c>
      <c r="N75" s="29"/>
      <c r="O75" s="29"/>
      <c r="P75" s="29"/>
      <c r="Q75" s="29">
        <f>SUM(H75:P75)</f>
        <v>120000000</v>
      </c>
      <c r="R75" s="74">
        <f t="shared" si="21"/>
        <v>0</v>
      </c>
    </row>
    <row r="76" spans="1:20" ht="24.95" customHeight="1" x14ac:dyDescent="0.2">
      <c r="B76" s="53" t="s">
        <v>284</v>
      </c>
      <c r="C76" s="21" t="s">
        <v>65</v>
      </c>
      <c r="D76" s="29">
        <v>70000000</v>
      </c>
      <c r="E76" s="29"/>
      <c r="F76" s="29"/>
      <c r="G76" s="29">
        <f t="shared" si="19"/>
        <v>70000000</v>
      </c>
      <c r="H76" s="29"/>
      <c r="I76" s="29"/>
      <c r="J76" s="29"/>
      <c r="K76" s="29"/>
      <c r="L76" s="29"/>
      <c r="M76" s="29">
        <v>70000000</v>
      </c>
      <c r="N76" s="29"/>
      <c r="O76" s="29"/>
      <c r="P76" s="29"/>
      <c r="Q76" s="29">
        <f>SUM(H76:O76)</f>
        <v>70000000</v>
      </c>
      <c r="R76" s="74">
        <f t="shared" si="21"/>
        <v>0</v>
      </c>
    </row>
    <row r="77" spans="1:20" ht="48" customHeight="1" x14ac:dyDescent="0.2">
      <c r="B77" s="53" t="s">
        <v>285</v>
      </c>
      <c r="C77" s="21" t="s">
        <v>66</v>
      </c>
      <c r="D77" s="29">
        <v>130000000</v>
      </c>
      <c r="E77" s="29"/>
      <c r="F77" s="29"/>
      <c r="G77" s="29">
        <f t="shared" si="19"/>
        <v>130000000</v>
      </c>
      <c r="H77" s="29"/>
      <c r="I77" s="29">
        <v>130000000</v>
      </c>
      <c r="J77" s="29"/>
      <c r="K77" s="29"/>
      <c r="L77" s="29"/>
      <c r="M77" s="29"/>
      <c r="N77" s="29"/>
      <c r="O77" s="29"/>
      <c r="P77" s="29"/>
      <c r="Q77" s="29">
        <f>SUM(H77:O77)</f>
        <v>130000000</v>
      </c>
      <c r="R77" s="74">
        <f t="shared" si="21"/>
        <v>0</v>
      </c>
    </row>
    <row r="78" spans="1:20" ht="14.25" customHeight="1" x14ac:dyDescent="0.2">
      <c r="B78" s="53" t="s">
        <v>286</v>
      </c>
      <c r="C78" s="21" t="s">
        <v>67</v>
      </c>
      <c r="D78" s="29">
        <v>250000000</v>
      </c>
      <c r="E78" s="29"/>
      <c r="F78" s="29"/>
      <c r="G78" s="29">
        <f t="shared" si="19"/>
        <v>250000000</v>
      </c>
      <c r="H78" s="29"/>
      <c r="I78" s="29">
        <v>250000000</v>
      </c>
      <c r="J78" s="29"/>
      <c r="K78" s="29"/>
      <c r="L78" s="29"/>
      <c r="M78" s="29"/>
      <c r="N78" s="29"/>
      <c r="O78" s="29"/>
      <c r="P78" s="29"/>
      <c r="Q78" s="29">
        <f>SUM(H78:O78)</f>
        <v>250000000</v>
      </c>
      <c r="R78" s="74">
        <f t="shared" si="21"/>
        <v>0</v>
      </c>
    </row>
    <row r="79" spans="1:20" ht="23.25" customHeight="1" x14ac:dyDescent="0.2">
      <c r="B79" s="53" t="s">
        <v>287</v>
      </c>
      <c r="C79" s="21" t="s">
        <v>68</v>
      </c>
      <c r="D79" s="29">
        <v>300000000</v>
      </c>
      <c r="E79" s="29"/>
      <c r="F79" s="29"/>
      <c r="G79" s="29">
        <f t="shared" si="19"/>
        <v>300000000</v>
      </c>
      <c r="H79" s="29"/>
      <c r="I79" s="29">
        <v>300000000</v>
      </c>
      <c r="J79" s="29"/>
      <c r="K79" s="29"/>
      <c r="L79" s="29"/>
      <c r="M79" s="29"/>
      <c r="N79" s="29"/>
      <c r="O79" s="29"/>
      <c r="P79" s="29"/>
      <c r="Q79" s="29">
        <f>SUM(H79:O79)</f>
        <v>300000000</v>
      </c>
      <c r="R79" s="74">
        <f t="shared" si="21"/>
        <v>0</v>
      </c>
    </row>
    <row r="80" spans="1:20" ht="15.6" customHeight="1" x14ac:dyDescent="0.2">
      <c r="B80" s="47" t="s">
        <v>288</v>
      </c>
      <c r="C80" s="21" t="s">
        <v>69</v>
      </c>
      <c r="D80" s="29">
        <v>40000000</v>
      </c>
      <c r="E80" s="29"/>
      <c r="F80" s="10"/>
      <c r="G80" s="29">
        <f t="shared" si="19"/>
        <v>40000000</v>
      </c>
      <c r="H80" s="10"/>
      <c r="I80" s="89">
        <v>40000000</v>
      </c>
      <c r="J80" s="29"/>
      <c r="K80" s="29"/>
      <c r="L80" s="29"/>
      <c r="M80" s="29"/>
      <c r="N80" s="29"/>
      <c r="O80" s="29"/>
      <c r="P80" s="29"/>
      <c r="Q80" s="29">
        <f>SUM(H80:P80)</f>
        <v>40000000</v>
      </c>
      <c r="R80" s="74">
        <f t="shared" si="21"/>
        <v>0</v>
      </c>
    </row>
    <row r="81" spans="1:18" ht="23.25" customHeight="1" x14ac:dyDescent="0.2">
      <c r="B81" s="47" t="s">
        <v>289</v>
      </c>
      <c r="C81" s="21" t="s">
        <v>70</v>
      </c>
      <c r="D81" s="29">
        <v>40000000</v>
      </c>
      <c r="E81" s="29"/>
      <c r="F81" s="29"/>
      <c r="G81" s="29">
        <f t="shared" si="19"/>
        <v>40000000</v>
      </c>
      <c r="H81" s="10"/>
      <c r="I81" s="89">
        <v>40000000</v>
      </c>
      <c r="J81" s="29"/>
      <c r="K81" s="29"/>
      <c r="L81" s="29"/>
      <c r="M81" s="29"/>
      <c r="N81" s="29"/>
      <c r="O81" s="29"/>
      <c r="P81" s="29"/>
      <c r="Q81" s="29">
        <f>SUM(H81:P81)</f>
        <v>40000000</v>
      </c>
      <c r="R81" s="74">
        <f t="shared" si="21"/>
        <v>0</v>
      </c>
    </row>
    <row r="82" spans="1:18" ht="25.7" customHeight="1" x14ac:dyDescent="0.2">
      <c r="B82" s="47" t="s">
        <v>290</v>
      </c>
      <c r="C82" s="21" t="s">
        <v>71</v>
      </c>
      <c r="D82" s="29">
        <v>70000000</v>
      </c>
      <c r="E82" s="29"/>
      <c r="F82" s="29"/>
      <c r="G82" s="29">
        <f t="shared" si="19"/>
        <v>70000000</v>
      </c>
      <c r="H82" s="10"/>
      <c r="I82" s="89">
        <v>70000000</v>
      </c>
      <c r="J82" s="29"/>
      <c r="K82" s="29"/>
      <c r="L82" s="29"/>
      <c r="M82" s="29"/>
      <c r="N82" s="29"/>
      <c r="O82" s="29"/>
      <c r="P82" s="29"/>
      <c r="Q82" s="29">
        <f>SUM(H82:P82)</f>
        <v>70000000</v>
      </c>
      <c r="R82" s="74">
        <f t="shared" si="21"/>
        <v>0</v>
      </c>
    </row>
    <row r="83" spans="1:18" s="86" customFormat="1" ht="20.25" customHeight="1" x14ac:dyDescent="0.2">
      <c r="A83" s="84" t="s">
        <v>267</v>
      </c>
      <c r="B83" s="85">
        <v>5</v>
      </c>
      <c r="C83" s="14" t="s">
        <v>72</v>
      </c>
      <c r="D83" s="27">
        <f>+D84</f>
        <v>150000000</v>
      </c>
      <c r="E83" s="27">
        <f>+E84</f>
        <v>0</v>
      </c>
      <c r="F83" s="27">
        <f>+F84</f>
        <v>0</v>
      </c>
      <c r="G83" s="27">
        <f t="shared" si="19"/>
        <v>150000000</v>
      </c>
      <c r="H83" s="27">
        <f t="shared" ref="H83:Q83" si="27">+H84</f>
        <v>0</v>
      </c>
      <c r="I83" s="27">
        <f t="shared" si="27"/>
        <v>150000000</v>
      </c>
      <c r="J83" s="27">
        <f t="shared" si="27"/>
        <v>0</v>
      </c>
      <c r="K83" s="27">
        <f t="shared" si="27"/>
        <v>0</v>
      </c>
      <c r="L83" s="27">
        <f t="shared" si="27"/>
        <v>0</v>
      </c>
      <c r="M83" s="27">
        <f t="shared" si="27"/>
        <v>0</v>
      </c>
      <c r="N83" s="27">
        <f t="shared" si="27"/>
        <v>0</v>
      </c>
      <c r="O83" s="27">
        <f t="shared" si="27"/>
        <v>0</v>
      </c>
      <c r="P83" s="27">
        <f t="shared" si="27"/>
        <v>0</v>
      </c>
      <c r="Q83" s="27">
        <f t="shared" si="27"/>
        <v>150000000</v>
      </c>
      <c r="R83" s="74">
        <f t="shared" si="21"/>
        <v>0</v>
      </c>
    </row>
    <row r="84" spans="1:18" ht="18.95" customHeight="1" x14ac:dyDescent="0.2">
      <c r="B84" s="1866" t="s">
        <v>291</v>
      </c>
      <c r="C84" s="17" t="s">
        <v>73</v>
      </c>
      <c r="D84" s="28">
        <f>SUM(D85:D86)</f>
        <v>150000000</v>
      </c>
      <c r="E84" s="28">
        <f>SUM(E85:E86)</f>
        <v>0</v>
      </c>
      <c r="F84" s="28">
        <f>SUM(F85:F86)</f>
        <v>0</v>
      </c>
      <c r="G84" s="28">
        <f t="shared" si="19"/>
        <v>150000000</v>
      </c>
      <c r="H84" s="28">
        <f t="shared" ref="H84:Q84" si="28">SUM(H85:H86)</f>
        <v>0</v>
      </c>
      <c r="I84" s="28">
        <f t="shared" si="28"/>
        <v>150000000</v>
      </c>
      <c r="J84" s="28">
        <f t="shared" si="28"/>
        <v>0</v>
      </c>
      <c r="K84" s="28">
        <f t="shared" si="28"/>
        <v>0</v>
      </c>
      <c r="L84" s="28">
        <f t="shared" si="28"/>
        <v>0</v>
      </c>
      <c r="M84" s="28">
        <f t="shared" si="28"/>
        <v>0</v>
      </c>
      <c r="N84" s="28">
        <f t="shared" si="28"/>
        <v>0</v>
      </c>
      <c r="O84" s="28">
        <f t="shared" si="28"/>
        <v>0</v>
      </c>
      <c r="P84" s="28">
        <f t="shared" si="28"/>
        <v>0</v>
      </c>
      <c r="Q84" s="28">
        <f t="shared" si="28"/>
        <v>150000000</v>
      </c>
      <c r="R84" s="74">
        <f t="shared" si="21"/>
        <v>0</v>
      </c>
    </row>
    <row r="85" spans="1:18" ht="23.25" customHeight="1" x14ac:dyDescent="0.2">
      <c r="B85" s="1866"/>
      <c r="C85" s="20" t="s">
        <v>74</v>
      </c>
      <c r="D85" s="29">
        <v>80000000</v>
      </c>
      <c r="E85" s="29"/>
      <c r="F85" s="29"/>
      <c r="G85" s="29">
        <f t="shared" si="19"/>
        <v>80000000</v>
      </c>
      <c r="H85" s="29"/>
      <c r="I85" s="29">
        <v>80000000</v>
      </c>
      <c r="J85" s="29"/>
      <c r="K85" s="29"/>
      <c r="L85" s="29"/>
      <c r="M85" s="29"/>
      <c r="N85" s="29"/>
      <c r="O85" s="29"/>
      <c r="P85" s="29"/>
      <c r="Q85" s="29">
        <f>SUM(H85:P85)</f>
        <v>80000000</v>
      </c>
      <c r="R85" s="74">
        <f t="shared" si="21"/>
        <v>0</v>
      </c>
    </row>
    <row r="86" spans="1:18" ht="29.25" customHeight="1" x14ac:dyDescent="0.2">
      <c r="B86" s="1866"/>
      <c r="C86" s="20" t="s">
        <v>75</v>
      </c>
      <c r="D86" s="29">
        <v>70000000</v>
      </c>
      <c r="E86" s="29"/>
      <c r="F86" s="29"/>
      <c r="G86" s="29">
        <f t="shared" si="19"/>
        <v>70000000</v>
      </c>
      <c r="H86" s="29"/>
      <c r="I86" s="29">
        <v>70000000</v>
      </c>
      <c r="J86" s="29"/>
      <c r="K86" s="29"/>
      <c r="L86" s="29"/>
      <c r="M86" s="29"/>
      <c r="N86" s="29"/>
      <c r="O86" s="29"/>
      <c r="P86" s="29"/>
      <c r="Q86" s="29">
        <f>SUM(H86:P86)</f>
        <v>70000000</v>
      </c>
      <c r="R86" s="74">
        <f t="shared" si="21"/>
        <v>0</v>
      </c>
    </row>
    <row r="87" spans="1:18" s="86" customFormat="1" ht="20.25" customHeight="1" x14ac:dyDescent="0.2">
      <c r="A87" s="84"/>
      <c r="B87" s="85">
        <v>6</v>
      </c>
      <c r="C87" s="14" t="s">
        <v>76</v>
      </c>
      <c r="D87" s="27">
        <f>+D88+D93+D97</f>
        <v>300000000</v>
      </c>
      <c r="E87" s="27">
        <f>+E88+E93+E97</f>
        <v>0</v>
      </c>
      <c r="F87" s="27">
        <f>+F88+F93+F97</f>
        <v>0</v>
      </c>
      <c r="G87" s="27">
        <f t="shared" si="19"/>
        <v>300000000</v>
      </c>
      <c r="H87" s="27">
        <f t="shared" ref="H87:Q87" si="29">+H88+H93+H97</f>
        <v>0</v>
      </c>
      <c r="I87" s="27">
        <f t="shared" si="29"/>
        <v>300000000</v>
      </c>
      <c r="J87" s="27">
        <f t="shared" si="29"/>
        <v>0</v>
      </c>
      <c r="K87" s="27">
        <f t="shared" si="29"/>
        <v>0</v>
      </c>
      <c r="L87" s="27">
        <f t="shared" si="29"/>
        <v>0</v>
      </c>
      <c r="M87" s="27">
        <f t="shared" si="29"/>
        <v>0</v>
      </c>
      <c r="N87" s="27">
        <f t="shared" si="29"/>
        <v>0</v>
      </c>
      <c r="O87" s="27">
        <f t="shared" si="29"/>
        <v>0</v>
      </c>
      <c r="P87" s="27">
        <f t="shared" si="29"/>
        <v>0</v>
      </c>
      <c r="Q87" s="27">
        <f t="shared" si="29"/>
        <v>300000000</v>
      </c>
      <c r="R87" s="74">
        <f t="shared" si="21"/>
        <v>0</v>
      </c>
    </row>
    <row r="88" spans="1:18" ht="18" customHeight="1" x14ac:dyDescent="0.2">
      <c r="A88" s="63" t="s">
        <v>292</v>
      </c>
      <c r="B88" s="1866" t="s">
        <v>293</v>
      </c>
      <c r="C88" s="17" t="s">
        <v>77</v>
      </c>
      <c r="D88" s="28">
        <f>SUM(D89:D92)</f>
        <v>80000000</v>
      </c>
      <c r="E88" s="28">
        <f>SUM(E89:E92)</f>
        <v>0</v>
      </c>
      <c r="F88" s="92">
        <f>SUM(F89:F92)</f>
        <v>0</v>
      </c>
      <c r="G88" s="28">
        <f t="shared" si="19"/>
        <v>80000000</v>
      </c>
      <c r="H88" s="92">
        <f t="shared" ref="H88:Q88" si="30">SUM(H89:H92)</f>
        <v>0</v>
      </c>
      <c r="I88" s="92">
        <f t="shared" si="30"/>
        <v>80000000</v>
      </c>
      <c r="J88" s="92">
        <f t="shared" si="30"/>
        <v>0</v>
      </c>
      <c r="K88" s="92">
        <f t="shared" si="30"/>
        <v>0</v>
      </c>
      <c r="L88" s="92">
        <f t="shared" si="30"/>
        <v>0</v>
      </c>
      <c r="M88" s="92">
        <f t="shared" si="30"/>
        <v>0</v>
      </c>
      <c r="N88" s="92">
        <f t="shared" si="30"/>
        <v>0</v>
      </c>
      <c r="O88" s="92">
        <f t="shared" si="30"/>
        <v>0</v>
      </c>
      <c r="P88" s="92">
        <f t="shared" si="30"/>
        <v>0</v>
      </c>
      <c r="Q88" s="92">
        <f t="shared" si="30"/>
        <v>80000000</v>
      </c>
      <c r="R88" s="74">
        <f t="shared" si="21"/>
        <v>0</v>
      </c>
    </row>
    <row r="89" spans="1:18" ht="15" customHeight="1" x14ac:dyDescent="0.2">
      <c r="B89" s="1866"/>
      <c r="C89" s="16" t="s">
        <v>78</v>
      </c>
      <c r="D89" s="1868">
        <v>80000000</v>
      </c>
      <c r="E89" s="1871"/>
      <c r="F89" s="1868"/>
      <c r="G89" s="1868">
        <f>SUM(D89:F92)</f>
        <v>80000000</v>
      </c>
      <c r="H89" s="1868"/>
      <c r="I89" s="1868">
        <v>80000000</v>
      </c>
      <c r="J89" s="1868"/>
      <c r="K89" s="1868"/>
      <c r="L89" s="1868"/>
      <c r="M89" s="1868"/>
      <c r="N89" s="1868"/>
      <c r="O89" s="1868"/>
      <c r="P89" s="1868"/>
      <c r="Q89" s="1868">
        <f>SUM(H89:P89)</f>
        <v>80000000</v>
      </c>
      <c r="R89" s="1870">
        <f t="shared" si="21"/>
        <v>0</v>
      </c>
    </row>
    <row r="90" spans="1:18" ht="26.1" customHeight="1" x14ac:dyDescent="0.2">
      <c r="B90" s="1866"/>
      <c r="C90" s="16" t="s">
        <v>79</v>
      </c>
      <c r="D90" s="1868"/>
      <c r="E90" s="1870"/>
      <c r="F90" s="1868"/>
      <c r="G90" s="1868"/>
      <c r="H90" s="1868"/>
      <c r="I90" s="1868"/>
      <c r="J90" s="1868"/>
      <c r="K90" s="1868"/>
      <c r="L90" s="1868"/>
      <c r="M90" s="1868"/>
      <c r="N90" s="1868"/>
      <c r="O90" s="1868"/>
      <c r="P90" s="1868"/>
      <c r="Q90" s="1868"/>
      <c r="R90" s="1870"/>
    </row>
    <row r="91" spans="1:18" ht="26.1" customHeight="1" x14ac:dyDescent="0.2">
      <c r="B91" s="1866"/>
      <c r="C91" s="16" t="s">
        <v>80</v>
      </c>
      <c r="D91" s="1868"/>
      <c r="E91" s="1870"/>
      <c r="F91" s="1868"/>
      <c r="G91" s="1868"/>
      <c r="H91" s="1868"/>
      <c r="I91" s="1868"/>
      <c r="J91" s="1868"/>
      <c r="K91" s="1868"/>
      <c r="L91" s="1868"/>
      <c r="M91" s="1868"/>
      <c r="N91" s="1868"/>
      <c r="O91" s="1868"/>
      <c r="P91" s="1868"/>
      <c r="Q91" s="1868"/>
      <c r="R91" s="1870"/>
    </row>
    <row r="92" spans="1:18" ht="35.25" customHeight="1" x14ac:dyDescent="0.2">
      <c r="B92" s="1866"/>
      <c r="C92" s="16" t="s">
        <v>81</v>
      </c>
      <c r="D92" s="1868"/>
      <c r="E92" s="1872"/>
      <c r="F92" s="1868"/>
      <c r="G92" s="1868"/>
      <c r="H92" s="1868"/>
      <c r="I92" s="1868"/>
      <c r="J92" s="1868"/>
      <c r="K92" s="1868"/>
      <c r="L92" s="1868"/>
      <c r="M92" s="1868"/>
      <c r="N92" s="1868"/>
      <c r="O92" s="1868"/>
      <c r="P92" s="1868"/>
      <c r="Q92" s="1868"/>
      <c r="R92" s="1870"/>
    </row>
    <row r="93" spans="1:18" ht="18" customHeight="1" x14ac:dyDescent="0.2">
      <c r="A93" s="63" t="s">
        <v>294</v>
      </c>
      <c r="B93" s="1866" t="s">
        <v>295</v>
      </c>
      <c r="C93" s="17" t="s">
        <v>82</v>
      </c>
      <c r="D93" s="28">
        <f>SUM(D94:D96)</f>
        <v>150000000</v>
      </c>
      <c r="E93" s="28">
        <f>SUM(E94:E96)</f>
        <v>0</v>
      </c>
      <c r="F93" s="28">
        <f>SUM(F94:F96)</f>
        <v>0</v>
      </c>
      <c r="G93" s="28">
        <f>SUM(D93:F93)</f>
        <v>150000000</v>
      </c>
      <c r="H93" s="28">
        <f t="shared" ref="H93:Q93" si="31">SUM(H94:H96)</f>
        <v>0</v>
      </c>
      <c r="I93" s="28">
        <f t="shared" si="31"/>
        <v>150000000</v>
      </c>
      <c r="J93" s="28">
        <f t="shared" si="31"/>
        <v>0</v>
      </c>
      <c r="K93" s="28">
        <f t="shared" si="31"/>
        <v>0</v>
      </c>
      <c r="L93" s="28">
        <f t="shared" si="31"/>
        <v>0</v>
      </c>
      <c r="M93" s="28">
        <f t="shared" si="31"/>
        <v>0</v>
      </c>
      <c r="N93" s="28">
        <f t="shared" si="31"/>
        <v>0</v>
      </c>
      <c r="O93" s="28">
        <f t="shared" si="31"/>
        <v>0</v>
      </c>
      <c r="P93" s="28">
        <f t="shared" si="31"/>
        <v>0</v>
      </c>
      <c r="Q93" s="28">
        <f t="shared" si="31"/>
        <v>150000000</v>
      </c>
      <c r="R93" s="74">
        <f t="shared" ref="R93:R135" si="32">+G93-Q93</f>
        <v>0</v>
      </c>
    </row>
    <row r="94" spans="1:18" ht="18" customHeight="1" x14ac:dyDescent="0.2">
      <c r="B94" s="1866"/>
      <c r="C94" s="16" t="s">
        <v>83</v>
      </c>
      <c r="D94" s="1868">
        <v>150000000</v>
      </c>
      <c r="E94" s="1871"/>
      <c r="F94" s="1868"/>
      <c r="G94" s="1868">
        <f>SUM(D94:F96)</f>
        <v>150000000</v>
      </c>
      <c r="H94" s="1868"/>
      <c r="I94" s="1868">
        <v>150000000</v>
      </c>
      <c r="J94" s="1868"/>
      <c r="K94" s="1868"/>
      <c r="L94" s="1868"/>
      <c r="M94" s="1868"/>
      <c r="N94" s="1868"/>
      <c r="O94" s="1868"/>
      <c r="P94" s="1868"/>
      <c r="Q94" s="1868">
        <f>SUM(H94:P94)</f>
        <v>150000000</v>
      </c>
      <c r="R94" s="1869">
        <f t="shared" si="32"/>
        <v>0</v>
      </c>
    </row>
    <row r="95" spans="1:18" ht="26.1" customHeight="1" x14ac:dyDescent="0.2">
      <c r="B95" s="1866"/>
      <c r="C95" s="16" t="s">
        <v>84</v>
      </c>
      <c r="D95" s="1868"/>
      <c r="E95" s="1870"/>
      <c r="F95" s="1868"/>
      <c r="G95" s="1868">
        <f>+D95+F95</f>
        <v>0</v>
      </c>
      <c r="H95" s="1868"/>
      <c r="I95" s="1868">
        <v>0</v>
      </c>
      <c r="J95" s="1868"/>
      <c r="K95" s="1868"/>
      <c r="L95" s="1868"/>
      <c r="M95" s="1868"/>
      <c r="N95" s="1868"/>
      <c r="O95" s="1868"/>
      <c r="P95" s="1868"/>
      <c r="Q95" s="1868">
        <f>SUM(H95:P95)</f>
        <v>0</v>
      </c>
      <c r="R95" s="1869">
        <f t="shared" si="32"/>
        <v>0</v>
      </c>
    </row>
    <row r="96" spans="1:18" ht="16.7" customHeight="1" x14ac:dyDescent="0.2">
      <c r="B96" s="1866"/>
      <c r="C96" s="16" t="s">
        <v>85</v>
      </c>
      <c r="D96" s="1868"/>
      <c r="E96" s="1872"/>
      <c r="F96" s="1868"/>
      <c r="G96" s="1868">
        <f>+D96+F96</f>
        <v>0</v>
      </c>
      <c r="H96" s="1868"/>
      <c r="I96" s="1868">
        <v>0</v>
      </c>
      <c r="J96" s="1868"/>
      <c r="K96" s="1868"/>
      <c r="L96" s="1868"/>
      <c r="M96" s="1868"/>
      <c r="N96" s="1868"/>
      <c r="O96" s="1868"/>
      <c r="P96" s="1868"/>
      <c r="Q96" s="1868">
        <f>SUM(H96:P96)</f>
        <v>0</v>
      </c>
      <c r="R96" s="1869">
        <f t="shared" si="32"/>
        <v>0</v>
      </c>
    </row>
    <row r="97" spans="1:18" s="86" customFormat="1" ht="27" customHeight="1" x14ac:dyDescent="0.2">
      <c r="A97" s="84" t="s">
        <v>296</v>
      </c>
      <c r="B97" s="93" t="s">
        <v>297</v>
      </c>
      <c r="C97" s="15" t="s">
        <v>86</v>
      </c>
      <c r="D97" s="28">
        <v>70000000</v>
      </c>
      <c r="E97" s="28"/>
      <c r="F97" s="28"/>
      <c r="G97" s="28">
        <f t="shared" ref="G97:G135" si="33">SUM(D97:F97)</f>
        <v>70000000</v>
      </c>
      <c r="H97" s="31"/>
      <c r="I97" s="31">
        <v>70000000</v>
      </c>
      <c r="J97" s="31"/>
      <c r="K97" s="31"/>
      <c r="L97" s="31"/>
      <c r="M97" s="31"/>
      <c r="N97" s="31"/>
      <c r="O97" s="31"/>
      <c r="P97" s="31"/>
      <c r="Q97" s="28">
        <f>SUM(H97:P97)</f>
        <v>70000000</v>
      </c>
      <c r="R97" s="74">
        <f t="shared" si="32"/>
        <v>0</v>
      </c>
    </row>
    <row r="98" spans="1:18" s="86" customFormat="1" ht="21.6" customHeight="1" x14ac:dyDescent="0.2">
      <c r="A98" s="84"/>
      <c r="B98" s="85">
        <v>7</v>
      </c>
      <c r="C98" s="14" t="s">
        <v>87</v>
      </c>
      <c r="D98" s="27">
        <f>+D99+D103</f>
        <v>260000000</v>
      </c>
      <c r="E98" s="27">
        <f>+E99+E103</f>
        <v>0</v>
      </c>
      <c r="F98" s="27">
        <f>+F99+F103</f>
        <v>0</v>
      </c>
      <c r="G98" s="27">
        <f t="shared" si="33"/>
        <v>260000000</v>
      </c>
      <c r="H98" s="27">
        <f t="shared" ref="H98:Q98" si="34">+H99+H103</f>
        <v>0</v>
      </c>
      <c r="I98" s="27">
        <f t="shared" si="34"/>
        <v>260000000</v>
      </c>
      <c r="J98" s="27">
        <f t="shared" si="34"/>
        <v>0</v>
      </c>
      <c r="K98" s="27">
        <f t="shared" si="34"/>
        <v>0</v>
      </c>
      <c r="L98" s="27">
        <f t="shared" si="34"/>
        <v>0</v>
      </c>
      <c r="M98" s="27">
        <f t="shared" si="34"/>
        <v>0</v>
      </c>
      <c r="N98" s="27">
        <f t="shared" si="34"/>
        <v>0</v>
      </c>
      <c r="O98" s="27">
        <f t="shared" si="34"/>
        <v>0</v>
      </c>
      <c r="P98" s="27">
        <f t="shared" si="34"/>
        <v>0</v>
      </c>
      <c r="Q98" s="27">
        <f t="shared" si="34"/>
        <v>260000000</v>
      </c>
      <c r="R98" s="74">
        <f t="shared" si="32"/>
        <v>0</v>
      </c>
    </row>
    <row r="99" spans="1:18" ht="25.7" customHeight="1" x14ac:dyDescent="0.2">
      <c r="A99" s="63" t="s">
        <v>296</v>
      </c>
      <c r="B99" s="1866" t="s">
        <v>298</v>
      </c>
      <c r="C99" s="17" t="s">
        <v>88</v>
      </c>
      <c r="D99" s="28">
        <f>SUM(D100:D102)</f>
        <v>180000000</v>
      </c>
      <c r="E99" s="28">
        <f>SUM(E100:E102)</f>
        <v>0</v>
      </c>
      <c r="F99" s="28">
        <f>SUM(F100:F102)</f>
        <v>0</v>
      </c>
      <c r="G99" s="28">
        <f t="shared" si="33"/>
        <v>180000000</v>
      </c>
      <c r="H99" s="28">
        <f t="shared" ref="H99:Q99" si="35">SUM(H100:H102)</f>
        <v>0</v>
      </c>
      <c r="I99" s="28">
        <f t="shared" si="35"/>
        <v>180000000</v>
      </c>
      <c r="J99" s="28">
        <f t="shared" si="35"/>
        <v>0</v>
      </c>
      <c r="K99" s="28">
        <f t="shared" si="35"/>
        <v>0</v>
      </c>
      <c r="L99" s="28">
        <f t="shared" si="35"/>
        <v>0</v>
      </c>
      <c r="M99" s="28">
        <f t="shared" si="35"/>
        <v>0</v>
      </c>
      <c r="N99" s="28">
        <f t="shared" si="35"/>
        <v>0</v>
      </c>
      <c r="O99" s="28">
        <f t="shared" si="35"/>
        <v>0</v>
      </c>
      <c r="P99" s="28">
        <f t="shared" si="35"/>
        <v>0</v>
      </c>
      <c r="Q99" s="28">
        <f t="shared" si="35"/>
        <v>180000000</v>
      </c>
      <c r="R99" s="74">
        <f t="shared" si="32"/>
        <v>0</v>
      </c>
    </row>
    <row r="100" spans="1:18" ht="26.1" customHeight="1" x14ac:dyDescent="0.2">
      <c r="B100" s="1866"/>
      <c r="C100" s="22" t="s">
        <v>89</v>
      </c>
      <c r="D100" s="29">
        <v>60000000</v>
      </c>
      <c r="E100" s="29"/>
      <c r="F100" s="29"/>
      <c r="G100" s="29">
        <f t="shared" si="33"/>
        <v>60000000</v>
      </c>
      <c r="H100" s="29"/>
      <c r="I100" s="29">
        <v>60000000</v>
      </c>
      <c r="J100" s="29"/>
      <c r="K100" s="29"/>
      <c r="L100" s="29"/>
      <c r="M100" s="29"/>
      <c r="N100" s="29"/>
      <c r="O100" s="29"/>
      <c r="P100" s="29"/>
      <c r="Q100" s="29">
        <f>SUM(H100:P100)</f>
        <v>60000000</v>
      </c>
      <c r="R100" s="74">
        <f t="shared" si="32"/>
        <v>0</v>
      </c>
    </row>
    <row r="101" spans="1:18" ht="33.6" customHeight="1" x14ac:dyDescent="0.2">
      <c r="B101" s="1866"/>
      <c r="C101" s="22" t="s">
        <v>90</v>
      </c>
      <c r="D101" s="29">
        <v>60000000</v>
      </c>
      <c r="E101" s="29"/>
      <c r="F101" s="29"/>
      <c r="G101" s="29">
        <f t="shared" si="33"/>
        <v>60000000</v>
      </c>
      <c r="H101" s="29"/>
      <c r="I101" s="29">
        <v>60000000</v>
      </c>
      <c r="J101" s="29"/>
      <c r="K101" s="29"/>
      <c r="L101" s="29"/>
      <c r="M101" s="29"/>
      <c r="N101" s="29"/>
      <c r="O101" s="29"/>
      <c r="P101" s="29"/>
      <c r="Q101" s="29">
        <f>SUM(H101:P101)</f>
        <v>60000000</v>
      </c>
      <c r="R101" s="74">
        <f t="shared" si="32"/>
        <v>0</v>
      </c>
    </row>
    <row r="102" spans="1:18" ht="16.7" customHeight="1" x14ac:dyDescent="0.2">
      <c r="B102" s="1866"/>
      <c r="C102" s="16" t="s">
        <v>91</v>
      </c>
      <c r="D102" s="29">
        <v>60000000</v>
      </c>
      <c r="E102" s="29"/>
      <c r="F102" s="29"/>
      <c r="G102" s="29">
        <f t="shared" si="33"/>
        <v>60000000</v>
      </c>
      <c r="H102" s="29"/>
      <c r="I102" s="29">
        <v>60000000</v>
      </c>
      <c r="J102" s="29"/>
      <c r="K102" s="29"/>
      <c r="L102" s="29"/>
      <c r="M102" s="29"/>
      <c r="N102" s="29"/>
      <c r="O102" s="29"/>
      <c r="P102" s="29"/>
      <c r="Q102" s="29">
        <f>SUM(H102:P102)</f>
        <v>60000000</v>
      </c>
      <c r="R102" s="74">
        <f t="shared" si="32"/>
        <v>0</v>
      </c>
    </row>
    <row r="103" spans="1:18" ht="26.1" customHeight="1" x14ac:dyDescent="0.2">
      <c r="A103" s="63" t="s">
        <v>299</v>
      </c>
      <c r="B103" s="1866" t="s">
        <v>300</v>
      </c>
      <c r="C103" s="17" t="s">
        <v>92</v>
      </c>
      <c r="D103" s="28">
        <f>SUM(D104)</f>
        <v>80000000</v>
      </c>
      <c r="E103" s="28">
        <f>SUM(E104)</f>
        <v>0</v>
      </c>
      <c r="F103" s="28">
        <f>SUM(F104)</f>
        <v>0</v>
      </c>
      <c r="G103" s="28">
        <f t="shared" si="33"/>
        <v>80000000</v>
      </c>
      <c r="H103" s="28">
        <f t="shared" ref="H103:Q103" si="36">SUM(H104)</f>
        <v>0</v>
      </c>
      <c r="I103" s="28">
        <f t="shared" si="36"/>
        <v>80000000</v>
      </c>
      <c r="J103" s="28">
        <f t="shared" si="36"/>
        <v>0</v>
      </c>
      <c r="K103" s="28">
        <f t="shared" si="36"/>
        <v>0</v>
      </c>
      <c r="L103" s="28">
        <f t="shared" si="36"/>
        <v>0</v>
      </c>
      <c r="M103" s="28">
        <f t="shared" si="36"/>
        <v>0</v>
      </c>
      <c r="N103" s="28">
        <f t="shared" si="36"/>
        <v>0</v>
      </c>
      <c r="O103" s="28">
        <f t="shared" si="36"/>
        <v>0</v>
      </c>
      <c r="P103" s="28">
        <f t="shared" si="36"/>
        <v>0</v>
      </c>
      <c r="Q103" s="28">
        <f t="shared" si="36"/>
        <v>80000000</v>
      </c>
      <c r="R103" s="74">
        <f t="shared" si="32"/>
        <v>0</v>
      </c>
    </row>
    <row r="104" spans="1:18" ht="26.1" customHeight="1" x14ac:dyDescent="0.2">
      <c r="B104" s="1866"/>
      <c r="C104" s="16" t="s">
        <v>93</v>
      </c>
      <c r="D104" s="29">
        <v>80000000</v>
      </c>
      <c r="E104" s="29"/>
      <c r="F104" s="29"/>
      <c r="G104" s="29">
        <f t="shared" si="33"/>
        <v>80000000</v>
      </c>
      <c r="H104" s="29"/>
      <c r="I104" s="29">
        <v>80000000</v>
      </c>
      <c r="J104" s="29"/>
      <c r="K104" s="29"/>
      <c r="L104" s="29"/>
      <c r="M104" s="29"/>
      <c r="N104" s="29"/>
      <c r="O104" s="29"/>
      <c r="P104" s="29"/>
      <c r="Q104" s="29">
        <f>SUM(H104:P104)</f>
        <v>80000000</v>
      </c>
      <c r="R104" s="74">
        <f t="shared" si="32"/>
        <v>0</v>
      </c>
    </row>
    <row r="105" spans="1:18" s="86" customFormat="1" ht="39" customHeight="1" x14ac:dyDescent="0.2">
      <c r="A105" s="84"/>
      <c r="B105" s="85">
        <v>8</v>
      </c>
      <c r="C105" s="14" t="s">
        <v>94</v>
      </c>
      <c r="D105" s="27">
        <f>+D106</f>
        <v>516000000</v>
      </c>
      <c r="E105" s="27">
        <f>+E106</f>
        <v>0</v>
      </c>
      <c r="F105" s="27">
        <f>+F106</f>
        <v>0</v>
      </c>
      <c r="G105" s="27">
        <f t="shared" si="33"/>
        <v>516000000</v>
      </c>
      <c r="H105" s="27">
        <f t="shared" ref="H105:Q105" si="37">+H106</f>
        <v>0</v>
      </c>
      <c r="I105" s="27">
        <f t="shared" si="37"/>
        <v>516000000</v>
      </c>
      <c r="J105" s="27">
        <f t="shared" si="37"/>
        <v>0</v>
      </c>
      <c r="K105" s="27">
        <f t="shared" si="37"/>
        <v>0</v>
      </c>
      <c r="L105" s="27">
        <f t="shared" si="37"/>
        <v>0</v>
      </c>
      <c r="M105" s="27">
        <f t="shared" si="37"/>
        <v>0</v>
      </c>
      <c r="N105" s="27">
        <f t="shared" si="37"/>
        <v>0</v>
      </c>
      <c r="O105" s="27">
        <f t="shared" si="37"/>
        <v>0</v>
      </c>
      <c r="P105" s="27">
        <f t="shared" si="37"/>
        <v>0</v>
      </c>
      <c r="Q105" s="27">
        <f t="shared" si="37"/>
        <v>516000000</v>
      </c>
      <c r="R105" s="74">
        <f t="shared" si="32"/>
        <v>0</v>
      </c>
    </row>
    <row r="106" spans="1:18" ht="20.25" customHeight="1" x14ac:dyDescent="0.2">
      <c r="A106" s="63" t="s">
        <v>301</v>
      </c>
      <c r="B106" s="47" t="s">
        <v>302</v>
      </c>
      <c r="C106" s="17" t="s">
        <v>95</v>
      </c>
      <c r="D106" s="28">
        <f>SUM(D107:D110)</f>
        <v>516000000</v>
      </c>
      <c r="E106" s="28">
        <f>SUM(E107:E110)</f>
        <v>0</v>
      </c>
      <c r="F106" s="28">
        <f>SUM(F107:F110)</f>
        <v>0</v>
      </c>
      <c r="G106" s="28">
        <f t="shared" si="33"/>
        <v>516000000</v>
      </c>
      <c r="H106" s="28">
        <f t="shared" ref="H106:Q106" si="38">SUM(H107:H110)</f>
        <v>0</v>
      </c>
      <c r="I106" s="28">
        <f t="shared" si="38"/>
        <v>516000000</v>
      </c>
      <c r="J106" s="28">
        <f t="shared" si="38"/>
        <v>0</v>
      </c>
      <c r="K106" s="28">
        <f t="shared" si="38"/>
        <v>0</v>
      </c>
      <c r="L106" s="28">
        <f t="shared" si="38"/>
        <v>0</v>
      </c>
      <c r="M106" s="28">
        <f t="shared" si="38"/>
        <v>0</v>
      </c>
      <c r="N106" s="28">
        <f t="shared" si="38"/>
        <v>0</v>
      </c>
      <c r="O106" s="28">
        <f t="shared" si="38"/>
        <v>0</v>
      </c>
      <c r="P106" s="28">
        <f t="shared" si="38"/>
        <v>0</v>
      </c>
      <c r="Q106" s="28">
        <f t="shared" si="38"/>
        <v>516000000</v>
      </c>
      <c r="R106" s="74">
        <f t="shared" si="32"/>
        <v>0</v>
      </c>
    </row>
    <row r="107" spans="1:18" ht="20.25" customHeight="1" x14ac:dyDescent="0.2">
      <c r="B107" s="47" t="s">
        <v>303</v>
      </c>
      <c r="C107" s="41" t="s">
        <v>96</v>
      </c>
      <c r="D107" s="30">
        <v>204000000</v>
      </c>
      <c r="E107" s="30"/>
      <c r="F107" s="30"/>
      <c r="G107" s="29">
        <f t="shared" si="33"/>
        <v>204000000</v>
      </c>
      <c r="H107" s="30"/>
      <c r="I107" s="30">
        <v>204000000</v>
      </c>
      <c r="J107" s="30"/>
      <c r="K107" s="30"/>
      <c r="L107" s="30"/>
      <c r="M107" s="30"/>
      <c r="N107" s="30"/>
      <c r="O107" s="30"/>
      <c r="P107" s="30"/>
      <c r="Q107" s="30">
        <f>SUM(H107:P107)</f>
        <v>204000000</v>
      </c>
      <c r="R107" s="94">
        <f t="shared" si="32"/>
        <v>0</v>
      </c>
    </row>
    <row r="108" spans="1:18" ht="17.25" customHeight="1" x14ac:dyDescent="0.2">
      <c r="B108" s="47" t="s">
        <v>304</v>
      </c>
      <c r="C108" s="41" t="s">
        <v>97</v>
      </c>
      <c r="D108" s="30">
        <v>77000000</v>
      </c>
      <c r="E108" s="30"/>
      <c r="F108" s="30"/>
      <c r="G108" s="29">
        <f t="shared" si="33"/>
        <v>77000000</v>
      </c>
      <c r="H108" s="30"/>
      <c r="I108" s="30">
        <v>77000000</v>
      </c>
      <c r="J108" s="30"/>
      <c r="K108" s="30"/>
      <c r="L108" s="30"/>
      <c r="M108" s="30"/>
      <c r="N108" s="30"/>
      <c r="O108" s="30"/>
      <c r="P108" s="30"/>
      <c r="Q108" s="30">
        <f>SUM(H108:P108)</f>
        <v>77000000</v>
      </c>
      <c r="R108" s="94">
        <f t="shared" si="32"/>
        <v>0</v>
      </c>
    </row>
    <row r="109" spans="1:18" ht="17.25" customHeight="1" x14ac:dyDescent="0.2">
      <c r="B109" s="47" t="s">
        <v>305</v>
      </c>
      <c r="C109" s="41" t="s">
        <v>98</v>
      </c>
      <c r="D109" s="30">
        <v>195000000</v>
      </c>
      <c r="E109" s="30"/>
      <c r="F109" s="30"/>
      <c r="G109" s="29">
        <f t="shared" si="33"/>
        <v>195000000</v>
      </c>
      <c r="H109" s="30"/>
      <c r="I109" s="30">
        <v>195000000</v>
      </c>
      <c r="J109" s="30"/>
      <c r="K109" s="30"/>
      <c r="L109" s="30"/>
      <c r="M109" s="30"/>
      <c r="N109" s="30"/>
      <c r="O109" s="30"/>
      <c r="P109" s="30"/>
      <c r="Q109" s="30">
        <f>SUM(H109:P109)</f>
        <v>195000000</v>
      </c>
      <c r="R109" s="94">
        <f t="shared" si="32"/>
        <v>0</v>
      </c>
    </row>
    <row r="110" spans="1:18" ht="18.95" customHeight="1" x14ac:dyDescent="0.2">
      <c r="B110" s="47" t="s">
        <v>306</v>
      </c>
      <c r="C110" s="41" t="s">
        <v>99</v>
      </c>
      <c r="D110" s="30">
        <v>40000000</v>
      </c>
      <c r="E110" s="30"/>
      <c r="F110" s="30"/>
      <c r="G110" s="29">
        <f t="shared" si="33"/>
        <v>40000000</v>
      </c>
      <c r="H110" s="30"/>
      <c r="I110" s="30">
        <v>40000000</v>
      </c>
      <c r="J110" s="30"/>
      <c r="K110" s="30"/>
      <c r="L110" s="30"/>
      <c r="M110" s="30"/>
      <c r="N110" s="30"/>
      <c r="O110" s="30"/>
      <c r="P110" s="30"/>
      <c r="Q110" s="30">
        <f>SUM(H110:P110)</f>
        <v>40000000</v>
      </c>
      <c r="R110" s="94">
        <f t="shared" si="32"/>
        <v>0</v>
      </c>
    </row>
    <row r="111" spans="1:18" s="86" customFormat="1" ht="24" customHeight="1" x14ac:dyDescent="0.2">
      <c r="A111" s="84"/>
      <c r="B111" s="85">
        <v>9</v>
      </c>
      <c r="C111" s="14" t="s">
        <v>100</v>
      </c>
      <c r="D111" s="27">
        <f>+D112+D114+D116+D120+D117</f>
        <v>432478785</v>
      </c>
      <c r="E111" s="27">
        <f>+E112+E114+E116+E120+E117</f>
        <v>0</v>
      </c>
      <c r="F111" s="27">
        <f>+F112+F114+F116+F120+F117</f>
        <v>0</v>
      </c>
      <c r="G111" s="27">
        <f t="shared" si="33"/>
        <v>432478785</v>
      </c>
      <c r="H111" s="27">
        <f t="shared" ref="H111:Q111" si="39">+H112+H114+H116+H120+H117</f>
        <v>0</v>
      </c>
      <c r="I111" s="27">
        <f t="shared" si="39"/>
        <v>432478785</v>
      </c>
      <c r="J111" s="27">
        <f t="shared" si="39"/>
        <v>0</v>
      </c>
      <c r="K111" s="27">
        <f t="shared" si="39"/>
        <v>0</v>
      </c>
      <c r="L111" s="27">
        <f t="shared" si="39"/>
        <v>0</v>
      </c>
      <c r="M111" s="27">
        <f t="shared" si="39"/>
        <v>0</v>
      </c>
      <c r="N111" s="27">
        <f t="shared" si="39"/>
        <v>0</v>
      </c>
      <c r="O111" s="27">
        <f t="shared" si="39"/>
        <v>0</v>
      </c>
      <c r="P111" s="27">
        <f t="shared" si="39"/>
        <v>0</v>
      </c>
      <c r="Q111" s="27">
        <f t="shared" si="39"/>
        <v>432478785</v>
      </c>
      <c r="R111" s="74">
        <f t="shared" si="32"/>
        <v>0</v>
      </c>
    </row>
    <row r="112" spans="1:18" ht="18.95" customHeight="1" x14ac:dyDescent="0.2">
      <c r="A112" s="63" t="s">
        <v>307</v>
      </c>
      <c r="B112" s="1866" t="s">
        <v>308</v>
      </c>
      <c r="C112" s="17" t="s">
        <v>101</v>
      </c>
      <c r="D112" s="28">
        <f>+D113</f>
        <v>76881726</v>
      </c>
      <c r="E112" s="28">
        <f>+E113</f>
        <v>0</v>
      </c>
      <c r="F112" s="28">
        <f>+F113</f>
        <v>0</v>
      </c>
      <c r="G112" s="28">
        <f t="shared" si="33"/>
        <v>76881726</v>
      </c>
      <c r="H112" s="28">
        <f t="shared" ref="H112:P112" si="40">+H113</f>
        <v>0</v>
      </c>
      <c r="I112" s="28">
        <f t="shared" si="40"/>
        <v>76881726</v>
      </c>
      <c r="J112" s="28">
        <f t="shared" si="40"/>
        <v>0</v>
      </c>
      <c r="K112" s="28">
        <f t="shared" si="40"/>
        <v>0</v>
      </c>
      <c r="L112" s="28">
        <f t="shared" si="40"/>
        <v>0</v>
      </c>
      <c r="M112" s="28">
        <f t="shared" si="40"/>
        <v>0</v>
      </c>
      <c r="N112" s="28">
        <f t="shared" si="40"/>
        <v>0</v>
      </c>
      <c r="O112" s="28">
        <f t="shared" si="40"/>
        <v>0</v>
      </c>
      <c r="P112" s="28">
        <f t="shared" si="40"/>
        <v>0</v>
      </c>
      <c r="Q112" s="28">
        <f>SUM(Q113)</f>
        <v>76881726</v>
      </c>
      <c r="R112" s="74">
        <f t="shared" si="32"/>
        <v>0</v>
      </c>
    </row>
    <row r="113" spans="1:18" ht="18.95" customHeight="1" x14ac:dyDescent="0.2">
      <c r="B113" s="1866"/>
      <c r="C113" s="18" t="s">
        <v>102</v>
      </c>
      <c r="D113" s="29">
        <v>76881726</v>
      </c>
      <c r="E113" s="29"/>
      <c r="F113" s="29"/>
      <c r="G113" s="29">
        <f t="shared" si="33"/>
        <v>76881726</v>
      </c>
      <c r="H113" s="29"/>
      <c r="I113" s="29">
        <v>76881726</v>
      </c>
      <c r="J113" s="29"/>
      <c r="K113" s="29"/>
      <c r="L113" s="29"/>
      <c r="M113" s="29"/>
      <c r="N113" s="29"/>
      <c r="O113" s="29"/>
      <c r="P113" s="29"/>
      <c r="Q113" s="29">
        <f>SUM(H113:P113)</f>
        <v>76881726</v>
      </c>
      <c r="R113" s="74">
        <f t="shared" si="32"/>
        <v>0</v>
      </c>
    </row>
    <row r="114" spans="1:18" ht="18.600000000000001" customHeight="1" x14ac:dyDescent="0.2">
      <c r="A114" s="63" t="s">
        <v>246</v>
      </c>
      <c r="B114" s="1866" t="s">
        <v>309</v>
      </c>
      <c r="C114" s="17" t="s">
        <v>103</v>
      </c>
      <c r="D114" s="28">
        <f>+D115</f>
        <v>165597059</v>
      </c>
      <c r="E114" s="28">
        <f>+E115</f>
        <v>0</v>
      </c>
      <c r="F114" s="28">
        <f>+F115</f>
        <v>0</v>
      </c>
      <c r="G114" s="28">
        <f t="shared" si="33"/>
        <v>165597059</v>
      </c>
      <c r="H114" s="28">
        <f t="shared" ref="H114:P114" si="41">+H115</f>
        <v>0</v>
      </c>
      <c r="I114" s="28">
        <f t="shared" si="41"/>
        <v>165597059</v>
      </c>
      <c r="J114" s="28">
        <f t="shared" si="41"/>
        <v>0</v>
      </c>
      <c r="K114" s="28">
        <f t="shared" si="41"/>
        <v>0</v>
      </c>
      <c r="L114" s="28">
        <f t="shared" si="41"/>
        <v>0</v>
      </c>
      <c r="M114" s="28">
        <f t="shared" si="41"/>
        <v>0</v>
      </c>
      <c r="N114" s="28">
        <f t="shared" si="41"/>
        <v>0</v>
      </c>
      <c r="O114" s="28">
        <f t="shared" si="41"/>
        <v>0</v>
      </c>
      <c r="P114" s="28">
        <f t="shared" si="41"/>
        <v>0</v>
      </c>
      <c r="Q114" s="28">
        <f>SUM(Q115)</f>
        <v>165597059</v>
      </c>
      <c r="R114" s="74">
        <f t="shared" si="32"/>
        <v>0</v>
      </c>
    </row>
    <row r="115" spans="1:18" ht="26.25" customHeight="1" x14ac:dyDescent="0.2">
      <c r="B115" s="1866"/>
      <c r="C115" s="18" t="s">
        <v>104</v>
      </c>
      <c r="D115" s="29">
        <v>165597059</v>
      </c>
      <c r="E115" s="29"/>
      <c r="F115" s="29"/>
      <c r="G115" s="29">
        <f t="shared" si="33"/>
        <v>165597059</v>
      </c>
      <c r="H115" s="29"/>
      <c r="I115" s="29">
        <v>165597059</v>
      </c>
      <c r="J115" s="29"/>
      <c r="K115" s="29"/>
      <c r="L115" s="29"/>
      <c r="M115" s="29"/>
      <c r="N115" s="29"/>
      <c r="O115" s="29"/>
      <c r="P115" s="29"/>
      <c r="Q115" s="29">
        <f>SUM(H115:P115)</f>
        <v>165597059</v>
      </c>
      <c r="R115" s="74">
        <f t="shared" si="32"/>
        <v>0</v>
      </c>
    </row>
    <row r="116" spans="1:18" ht="18.600000000000001" customHeight="1" x14ac:dyDescent="0.2">
      <c r="A116" s="63" t="s">
        <v>310</v>
      </c>
      <c r="B116" s="47" t="s">
        <v>311</v>
      </c>
      <c r="C116" s="15" t="s">
        <v>105</v>
      </c>
      <c r="D116" s="28">
        <v>10000000</v>
      </c>
      <c r="E116" s="28"/>
      <c r="F116" s="28"/>
      <c r="G116" s="28">
        <f t="shared" si="33"/>
        <v>10000000</v>
      </c>
      <c r="H116" s="28"/>
      <c r="I116" s="28">
        <v>10000000</v>
      </c>
      <c r="J116" s="28"/>
      <c r="K116" s="28"/>
      <c r="L116" s="28"/>
      <c r="M116" s="28"/>
      <c r="N116" s="28"/>
      <c r="O116" s="28"/>
      <c r="P116" s="28"/>
      <c r="Q116" s="28">
        <f>SUM(H116:P116)</f>
        <v>10000000</v>
      </c>
      <c r="R116" s="74">
        <f t="shared" si="32"/>
        <v>0</v>
      </c>
    </row>
    <row r="117" spans="1:18" ht="18.600000000000001" customHeight="1" x14ac:dyDescent="0.2">
      <c r="A117" s="63" t="s">
        <v>312</v>
      </c>
      <c r="B117" s="1866" t="s">
        <v>313</v>
      </c>
      <c r="C117" s="17" t="s">
        <v>106</v>
      </c>
      <c r="D117" s="28">
        <f>SUM(D118:D119)</f>
        <v>100000000</v>
      </c>
      <c r="E117" s="28">
        <f>SUM(E118:E119)</f>
        <v>0</v>
      </c>
      <c r="F117" s="28">
        <f>SUM(F118:F119)</f>
        <v>0</v>
      </c>
      <c r="G117" s="28">
        <f t="shared" si="33"/>
        <v>100000000</v>
      </c>
      <c r="H117" s="28">
        <f t="shared" ref="H117:Q117" si="42">SUM(H118:H119)</f>
        <v>0</v>
      </c>
      <c r="I117" s="28">
        <f t="shared" si="42"/>
        <v>100000000</v>
      </c>
      <c r="J117" s="28">
        <f t="shared" si="42"/>
        <v>0</v>
      </c>
      <c r="K117" s="28">
        <f t="shared" si="42"/>
        <v>0</v>
      </c>
      <c r="L117" s="28">
        <f t="shared" si="42"/>
        <v>0</v>
      </c>
      <c r="M117" s="28">
        <f t="shared" si="42"/>
        <v>0</v>
      </c>
      <c r="N117" s="28">
        <f t="shared" si="42"/>
        <v>0</v>
      </c>
      <c r="O117" s="28">
        <f t="shared" si="42"/>
        <v>0</v>
      </c>
      <c r="P117" s="28">
        <f t="shared" si="42"/>
        <v>0</v>
      </c>
      <c r="Q117" s="28">
        <f t="shared" si="42"/>
        <v>100000000</v>
      </c>
      <c r="R117" s="74">
        <f t="shared" si="32"/>
        <v>0</v>
      </c>
    </row>
    <row r="118" spans="1:18" ht="18.600000000000001" customHeight="1" x14ac:dyDescent="0.2">
      <c r="B118" s="1866"/>
      <c r="C118" s="16" t="s">
        <v>107</v>
      </c>
      <c r="D118" s="29">
        <v>65000000</v>
      </c>
      <c r="E118" s="29"/>
      <c r="F118" s="10"/>
      <c r="G118" s="29">
        <f t="shared" si="33"/>
        <v>65000000</v>
      </c>
      <c r="H118" s="10"/>
      <c r="I118" s="10">
        <v>65000000</v>
      </c>
      <c r="J118" s="10"/>
      <c r="K118" s="10"/>
      <c r="L118" s="10"/>
      <c r="M118" s="10"/>
      <c r="N118" s="10"/>
      <c r="O118" s="10"/>
      <c r="P118" s="10"/>
      <c r="Q118" s="29">
        <f>SUM(H118:P118)</f>
        <v>65000000</v>
      </c>
      <c r="R118" s="74">
        <f t="shared" si="32"/>
        <v>0</v>
      </c>
    </row>
    <row r="119" spans="1:18" ht="18.600000000000001" customHeight="1" x14ac:dyDescent="0.2">
      <c r="B119" s="1866"/>
      <c r="C119" s="42" t="s">
        <v>108</v>
      </c>
      <c r="D119" s="29">
        <v>35000000</v>
      </c>
      <c r="E119" s="29"/>
      <c r="F119" s="10"/>
      <c r="G119" s="29">
        <f t="shared" si="33"/>
        <v>35000000</v>
      </c>
      <c r="H119" s="10"/>
      <c r="I119" s="10">
        <v>35000000</v>
      </c>
      <c r="J119" s="10"/>
      <c r="K119" s="10"/>
      <c r="L119" s="10"/>
      <c r="M119" s="10"/>
      <c r="N119" s="10"/>
      <c r="O119" s="10"/>
      <c r="P119" s="10"/>
      <c r="Q119" s="29">
        <f>SUM(H119:P119)</f>
        <v>35000000</v>
      </c>
      <c r="R119" s="74">
        <f t="shared" si="32"/>
        <v>0</v>
      </c>
    </row>
    <row r="120" spans="1:18" ht="16.7" customHeight="1" x14ac:dyDescent="0.2">
      <c r="A120" s="63" t="s">
        <v>246</v>
      </c>
      <c r="B120" s="47" t="s">
        <v>314</v>
      </c>
      <c r="C120" s="17" t="s">
        <v>109</v>
      </c>
      <c r="D120" s="28">
        <v>80000000</v>
      </c>
      <c r="E120" s="28"/>
      <c r="F120" s="28"/>
      <c r="G120" s="28">
        <f t="shared" si="33"/>
        <v>80000000</v>
      </c>
      <c r="H120" s="28"/>
      <c r="I120" s="28">
        <v>80000000</v>
      </c>
      <c r="J120" s="28"/>
      <c r="K120" s="28"/>
      <c r="L120" s="28"/>
      <c r="M120" s="28"/>
      <c r="N120" s="28"/>
      <c r="O120" s="28"/>
      <c r="P120" s="28"/>
      <c r="Q120" s="28">
        <f>SUM(H120:P120)</f>
        <v>80000000</v>
      </c>
      <c r="R120" s="74">
        <f t="shared" si="32"/>
        <v>0</v>
      </c>
    </row>
    <row r="121" spans="1:18" s="86" customFormat="1" ht="26.1" customHeight="1" x14ac:dyDescent="0.2">
      <c r="A121" s="84"/>
      <c r="B121" s="85">
        <v>10</v>
      </c>
      <c r="C121" s="14" t="s">
        <v>110</v>
      </c>
      <c r="D121" s="27">
        <f>+D122+D133+D135</f>
        <v>2322945608</v>
      </c>
      <c r="E121" s="27">
        <f>+E122+E133+E135</f>
        <v>0</v>
      </c>
      <c r="F121" s="27">
        <f>+F122+F133+F135</f>
        <v>0</v>
      </c>
      <c r="G121" s="27">
        <f t="shared" si="33"/>
        <v>2322945608</v>
      </c>
      <c r="H121" s="27">
        <f t="shared" ref="H121:Q121" si="43">+H122+H133+H135</f>
        <v>200000000</v>
      </c>
      <c r="I121" s="27">
        <f t="shared" si="43"/>
        <v>2063111140</v>
      </c>
      <c r="J121" s="27">
        <f t="shared" si="43"/>
        <v>0</v>
      </c>
      <c r="K121" s="27">
        <f t="shared" si="43"/>
        <v>0</v>
      </c>
      <c r="L121" s="27">
        <f t="shared" si="43"/>
        <v>0</v>
      </c>
      <c r="M121" s="27">
        <f t="shared" si="43"/>
        <v>59834468</v>
      </c>
      <c r="N121" s="27">
        <f t="shared" si="43"/>
        <v>0</v>
      </c>
      <c r="O121" s="27">
        <f t="shared" si="43"/>
        <v>0</v>
      </c>
      <c r="P121" s="27">
        <f t="shared" si="43"/>
        <v>0</v>
      </c>
      <c r="Q121" s="27">
        <f t="shared" si="43"/>
        <v>2322945608</v>
      </c>
      <c r="R121" s="74">
        <f t="shared" si="32"/>
        <v>0</v>
      </c>
    </row>
    <row r="122" spans="1:18" ht="26.1" customHeight="1" x14ac:dyDescent="0.2">
      <c r="B122" s="48" t="s">
        <v>315</v>
      </c>
      <c r="C122" s="17" t="s">
        <v>111</v>
      </c>
      <c r="D122" s="28">
        <f>+D123+D124+D125+D131+D132</f>
        <v>1862945608</v>
      </c>
      <c r="E122" s="28">
        <f>+E123+E124+E125+E131+E132</f>
        <v>0</v>
      </c>
      <c r="F122" s="28">
        <f>+F123+F124+F125+F131+F132</f>
        <v>0</v>
      </c>
      <c r="G122" s="28">
        <f t="shared" si="33"/>
        <v>1862945608</v>
      </c>
      <c r="H122" s="28">
        <f t="shared" ref="H122:Q122" si="44">+H123+H124+H125+H131+H132</f>
        <v>0</v>
      </c>
      <c r="I122" s="28">
        <f t="shared" si="44"/>
        <v>1803111140</v>
      </c>
      <c r="J122" s="28">
        <f t="shared" si="44"/>
        <v>0</v>
      </c>
      <c r="K122" s="28">
        <f t="shared" si="44"/>
        <v>0</v>
      </c>
      <c r="L122" s="28">
        <f t="shared" si="44"/>
        <v>0</v>
      </c>
      <c r="M122" s="28">
        <f t="shared" si="44"/>
        <v>59834468</v>
      </c>
      <c r="N122" s="28">
        <f t="shared" si="44"/>
        <v>0</v>
      </c>
      <c r="O122" s="28">
        <f t="shared" si="44"/>
        <v>0</v>
      </c>
      <c r="P122" s="28">
        <f t="shared" si="44"/>
        <v>0</v>
      </c>
      <c r="Q122" s="28">
        <f t="shared" si="44"/>
        <v>1862945608</v>
      </c>
      <c r="R122" s="74">
        <f t="shared" si="32"/>
        <v>0</v>
      </c>
    </row>
    <row r="123" spans="1:18" ht="27" customHeight="1" x14ac:dyDescent="0.2">
      <c r="A123" s="63" t="s">
        <v>316</v>
      </c>
      <c r="B123" s="53" t="s">
        <v>317</v>
      </c>
      <c r="C123" s="42" t="s">
        <v>112</v>
      </c>
      <c r="D123" s="32">
        <v>40000000</v>
      </c>
      <c r="E123" s="32"/>
      <c r="F123" s="29"/>
      <c r="G123" s="29">
        <f t="shared" si="33"/>
        <v>40000000</v>
      </c>
      <c r="H123" s="29"/>
      <c r="I123" s="29">
        <v>40000000</v>
      </c>
      <c r="J123" s="29"/>
      <c r="K123" s="29"/>
      <c r="L123" s="29"/>
      <c r="M123" s="29"/>
      <c r="N123" s="29"/>
      <c r="O123" s="29"/>
      <c r="P123" s="29"/>
      <c r="Q123" s="29">
        <f>SUM(H123:P123)</f>
        <v>40000000</v>
      </c>
      <c r="R123" s="74">
        <f t="shared" si="32"/>
        <v>0</v>
      </c>
    </row>
    <row r="124" spans="1:18" ht="29.25" customHeight="1" x14ac:dyDescent="0.2">
      <c r="A124" s="63" t="s">
        <v>318</v>
      </c>
      <c r="B124" s="53" t="s">
        <v>319</v>
      </c>
      <c r="C124" s="16" t="s">
        <v>113</v>
      </c>
      <c r="D124" s="29">
        <v>50000000</v>
      </c>
      <c r="E124" s="29"/>
      <c r="F124" s="29"/>
      <c r="G124" s="29">
        <f t="shared" si="33"/>
        <v>50000000</v>
      </c>
      <c r="H124" s="29"/>
      <c r="I124" s="29">
        <v>50000000</v>
      </c>
      <c r="J124" s="29"/>
      <c r="K124" s="29"/>
      <c r="L124" s="29"/>
      <c r="M124" s="29"/>
      <c r="N124" s="29"/>
      <c r="O124" s="29"/>
      <c r="P124" s="29"/>
      <c r="Q124" s="29">
        <f>SUM(H124:P124)</f>
        <v>50000000</v>
      </c>
      <c r="R124" s="74">
        <f t="shared" si="32"/>
        <v>0</v>
      </c>
    </row>
    <row r="125" spans="1:18" ht="15.95" customHeight="1" x14ac:dyDescent="0.2">
      <c r="A125" s="63" t="s">
        <v>267</v>
      </c>
      <c r="B125" s="53" t="s">
        <v>320</v>
      </c>
      <c r="C125" s="23" t="s">
        <v>114</v>
      </c>
      <c r="D125" s="44">
        <f>SUM(D126:D130)</f>
        <v>307500000</v>
      </c>
      <c r="E125" s="44">
        <f>SUM(E126:E130)</f>
        <v>0</v>
      </c>
      <c r="F125" s="44"/>
      <c r="G125" s="29">
        <f t="shared" si="33"/>
        <v>307500000</v>
      </c>
      <c r="H125" s="44">
        <f t="shared" ref="H125:Q125" si="45">SUM(H126:H130)</f>
        <v>0</v>
      </c>
      <c r="I125" s="44">
        <f t="shared" si="45"/>
        <v>307500000</v>
      </c>
      <c r="J125" s="44">
        <f t="shared" si="45"/>
        <v>0</v>
      </c>
      <c r="K125" s="44">
        <f t="shared" si="45"/>
        <v>0</v>
      </c>
      <c r="L125" s="44">
        <f t="shared" si="45"/>
        <v>0</v>
      </c>
      <c r="M125" s="44">
        <f t="shared" si="45"/>
        <v>0</v>
      </c>
      <c r="N125" s="44">
        <f t="shared" si="45"/>
        <v>0</v>
      </c>
      <c r="O125" s="44">
        <f t="shared" si="45"/>
        <v>0</v>
      </c>
      <c r="P125" s="44">
        <f t="shared" si="45"/>
        <v>0</v>
      </c>
      <c r="Q125" s="44">
        <f t="shared" si="45"/>
        <v>307500000</v>
      </c>
      <c r="R125" s="88">
        <f t="shared" si="32"/>
        <v>0</v>
      </c>
    </row>
    <row r="126" spans="1:18" ht="27" customHeight="1" x14ac:dyDescent="0.2">
      <c r="B126" s="53"/>
      <c r="C126" s="16" t="s">
        <v>115</v>
      </c>
      <c r="D126" s="29">
        <v>150000000</v>
      </c>
      <c r="E126" s="29"/>
      <c r="F126" s="29"/>
      <c r="G126" s="29">
        <f t="shared" si="33"/>
        <v>150000000</v>
      </c>
      <c r="H126" s="29"/>
      <c r="I126" s="29">
        <v>150000000</v>
      </c>
      <c r="J126" s="29"/>
      <c r="K126" s="29"/>
      <c r="L126" s="29"/>
      <c r="M126" s="29"/>
      <c r="N126" s="29"/>
      <c r="O126" s="29"/>
      <c r="P126" s="29"/>
      <c r="Q126" s="29">
        <f t="shared" ref="Q126:Q132" si="46">SUM(H126:P126)</f>
        <v>150000000</v>
      </c>
      <c r="R126" s="74">
        <f t="shared" si="32"/>
        <v>0</v>
      </c>
    </row>
    <row r="127" spans="1:18" ht="37.700000000000003" customHeight="1" x14ac:dyDescent="0.2">
      <c r="B127" s="53"/>
      <c r="C127" s="16" t="s">
        <v>116</v>
      </c>
      <c r="D127" s="29">
        <v>67000000</v>
      </c>
      <c r="E127" s="29"/>
      <c r="F127" s="29"/>
      <c r="G127" s="29">
        <f t="shared" si="33"/>
        <v>67000000</v>
      </c>
      <c r="H127" s="29"/>
      <c r="I127" s="29">
        <v>67000000</v>
      </c>
      <c r="J127" s="29"/>
      <c r="K127" s="29"/>
      <c r="L127" s="29"/>
      <c r="M127" s="29"/>
      <c r="N127" s="29"/>
      <c r="O127" s="29"/>
      <c r="P127" s="29"/>
      <c r="Q127" s="29">
        <f t="shared" si="46"/>
        <v>67000000</v>
      </c>
      <c r="R127" s="74">
        <f t="shared" si="32"/>
        <v>0</v>
      </c>
    </row>
    <row r="128" spans="1:18" ht="37.700000000000003" customHeight="1" x14ac:dyDescent="0.2">
      <c r="B128" s="53"/>
      <c r="C128" s="16" t="s">
        <v>117</v>
      </c>
      <c r="D128" s="29">
        <v>25000000</v>
      </c>
      <c r="E128" s="29"/>
      <c r="F128" s="29"/>
      <c r="G128" s="29">
        <f t="shared" si="33"/>
        <v>25000000</v>
      </c>
      <c r="H128" s="29"/>
      <c r="I128" s="29">
        <v>25000000</v>
      </c>
      <c r="J128" s="29"/>
      <c r="K128" s="29"/>
      <c r="L128" s="29"/>
      <c r="M128" s="29"/>
      <c r="N128" s="29"/>
      <c r="O128" s="29"/>
      <c r="P128" s="29"/>
      <c r="Q128" s="29">
        <f t="shared" si="46"/>
        <v>25000000</v>
      </c>
      <c r="R128" s="74">
        <f t="shared" si="32"/>
        <v>0</v>
      </c>
    </row>
    <row r="129" spans="1:18" ht="35.25" customHeight="1" x14ac:dyDescent="0.2">
      <c r="B129" s="53"/>
      <c r="C129" s="16" t="s">
        <v>118</v>
      </c>
      <c r="D129" s="29">
        <v>52000000</v>
      </c>
      <c r="E129" s="29"/>
      <c r="F129" s="29"/>
      <c r="G129" s="29">
        <f t="shared" si="33"/>
        <v>52000000</v>
      </c>
      <c r="H129" s="29"/>
      <c r="I129" s="29">
        <v>52000000</v>
      </c>
      <c r="J129" s="29"/>
      <c r="K129" s="29"/>
      <c r="L129" s="29"/>
      <c r="M129" s="29"/>
      <c r="N129" s="29"/>
      <c r="O129" s="29"/>
      <c r="P129" s="29"/>
      <c r="Q129" s="29">
        <f t="shared" si="46"/>
        <v>52000000</v>
      </c>
      <c r="R129" s="74">
        <f t="shared" si="32"/>
        <v>0</v>
      </c>
    </row>
    <row r="130" spans="1:18" ht="27" customHeight="1" x14ac:dyDescent="0.2">
      <c r="B130" s="53"/>
      <c r="C130" s="16" t="s">
        <v>119</v>
      </c>
      <c r="D130" s="29">
        <v>13500000</v>
      </c>
      <c r="E130" s="29"/>
      <c r="F130" s="29"/>
      <c r="G130" s="29">
        <f t="shared" si="33"/>
        <v>13500000</v>
      </c>
      <c r="H130" s="29"/>
      <c r="I130" s="29">
        <v>13500000</v>
      </c>
      <c r="J130" s="29"/>
      <c r="K130" s="29"/>
      <c r="L130" s="29"/>
      <c r="M130" s="29"/>
      <c r="N130" s="29"/>
      <c r="O130" s="29"/>
      <c r="P130" s="29"/>
      <c r="Q130" s="29">
        <f t="shared" si="46"/>
        <v>13500000</v>
      </c>
      <c r="R130" s="74">
        <f t="shared" si="32"/>
        <v>0</v>
      </c>
    </row>
    <row r="131" spans="1:18" ht="18.95" customHeight="1" x14ac:dyDescent="0.2">
      <c r="A131" s="63" t="s">
        <v>321</v>
      </c>
      <c r="B131" s="53" t="s">
        <v>322</v>
      </c>
      <c r="C131" s="41" t="s">
        <v>323</v>
      </c>
      <c r="D131" s="29">
        <v>200000000</v>
      </c>
      <c r="E131" s="29"/>
      <c r="F131" s="29"/>
      <c r="G131" s="29">
        <f t="shared" si="33"/>
        <v>200000000</v>
      </c>
      <c r="H131" s="29"/>
      <c r="I131" s="29">
        <v>140165532</v>
      </c>
      <c r="J131" s="29"/>
      <c r="K131" s="29"/>
      <c r="L131" s="29"/>
      <c r="M131" s="29">
        <v>59834468</v>
      </c>
      <c r="N131" s="29"/>
      <c r="O131" s="29"/>
      <c r="P131" s="29"/>
      <c r="Q131" s="29">
        <f t="shared" si="46"/>
        <v>200000000</v>
      </c>
      <c r="R131" s="74">
        <f t="shared" si="32"/>
        <v>0</v>
      </c>
    </row>
    <row r="132" spans="1:18" ht="18" customHeight="1" x14ac:dyDescent="0.2">
      <c r="A132" s="63" t="s">
        <v>324</v>
      </c>
      <c r="B132" s="53" t="s">
        <v>325</v>
      </c>
      <c r="C132" s="42" t="s">
        <v>120</v>
      </c>
      <c r="D132" s="29">
        <v>1265445608</v>
      </c>
      <c r="E132" s="29"/>
      <c r="F132" s="29"/>
      <c r="G132" s="29">
        <f t="shared" si="33"/>
        <v>1265445608</v>
      </c>
      <c r="H132" s="29"/>
      <c r="I132" s="29">
        <v>1265445608</v>
      </c>
      <c r="J132" s="29"/>
      <c r="K132" s="29"/>
      <c r="L132" s="29"/>
      <c r="M132" s="29"/>
      <c r="N132" s="29"/>
      <c r="O132" s="29"/>
      <c r="P132" s="29"/>
      <c r="Q132" s="29">
        <f t="shared" si="46"/>
        <v>1265445608</v>
      </c>
      <c r="R132" s="74">
        <f t="shared" si="32"/>
        <v>0</v>
      </c>
    </row>
    <row r="133" spans="1:18" ht="26.1" customHeight="1" x14ac:dyDescent="0.2">
      <c r="A133" s="63" t="s">
        <v>326</v>
      </c>
      <c r="B133" s="1867" t="s">
        <v>327</v>
      </c>
      <c r="C133" s="17" t="s">
        <v>121</v>
      </c>
      <c r="D133" s="28">
        <f>+D134</f>
        <v>200000000</v>
      </c>
      <c r="E133" s="28">
        <f>+E134</f>
        <v>0</v>
      </c>
      <c r="F133" s="28">
        <f>+F134</f>
        <v>0</v>
      </c>
      <c r="G133" s="28">
        <f t="shared" si="33"/>
        <v>200000000</v>
      </c>
      <c r="H133" s="28">
        <f t="shared" ref="H133:Q133" si="47">+H134</f>
        <v>200000000</v>
      </c>
      <c r="I133" s="28">
        <f t="shared" si="47"/>
        <v>0</v>
      </c>
      <c r="J133" s="28">
        <f t="shared" si="47"/>
        <v>0</v>
      </c>
      <c r="K133" s="28">
        <f t="shared" si="47"/>
        <v>0</v>
      </c>
      <c r="L133" s="28">
        <f t="shared" si="47"/>
        <v>0</v>
      </c>
      <c r="M133" s="28">
        <f t="shared" si="47"/>
        <v>0</v>
      </c>
      <c r="N133" s="28">
        <f t="shared" si="47"/>
        <v>0</v>
      </c>
      <c r="O133" s="28">
        <f t="shared" si="47"/>
        <v>0</v>
      </c>
      <c r="P133" s="28">
        <f t="shared" si="47"/>
        <v>0</v>
      </c>
      <c r="Q133" s="28">
        <f t="shared" si="47"/>
        <v>200000000</v>
      </c>
      <c r="R133" s="74">
        <f t="shared" si="32"/>
        <v>0</v>
      </c>
    </row>
    <row r="134" spans="1:18" s="86" customFormat="1" ht="24.95" customHeight="1" x14ac:dyDescent="0.2">
      <c r="A134" s="84"/>
      <c r="B134" s="1867"/>
      <c r="C134" s="16" t="s">
        <v>122</v>
      </c>
      <c r="D134" s="10">
        <v>200000000</v>
      </c>
      <c r="E134" s="10"/>
      <c r="F134" s="29"/>
      <c r="G134" s="29">
        <f t="shared" si="33"/>
        <v>200000000</v>
      </c>
      <c r="H134" s="29">
        <v>200000000</v>
      </c>
      <c r="I134" s="29"/>
      <c r="J134" s="29"/>
      <c r="K134" s="29"/>
      <c r="L134" s="29"/>
      <c r="M134" s="29"/>
      <c r="N134" s="29"/>
      <c r="O134" s="29"/>
      <c r="P134" s="29"/>
      <c r="Q134" s="29">
        <f>SUM(H134:P134)</f>
        <v>200000000</v>
      </c>
      <c r="R134" s="74">
        <f t="shared" si="32"/>
        <v>0</v>
      </c>
    </row>
    <row r="135" spans="1:18" ht="25.7" customHeight="1" x14ac:dyDescent="0.2">
      <c r="A135" s="63" t="s">
        <v>177</v>
      </c>
      <c r="B135" s="53" t="s">
        <v>328</v>
      </c>
      <c r="C135" s="17" t="s">
        <v>123</v>
      </c>
      <c r="D135" s="28">
        <v>260000000</v>
      </c>
      <c r="E135" s="28"/>
      <c r="F135" s="28"/>
      <c r="G135" s="28">
        <f t="shared" si="33"/>
        <v>260000000</v>
      </c>
      <c r="H135" s="28"/>
      <c r="I135" s="28">
        <v>260000000</v>
      </c>
      <c r="J135" s="28"/>
      <c r="K135" s="28"/>
      <c r="L135" s="28"/>
      <c r="M135" s="28"/>
      <c r="N135" s="28"/>
      <c r="O135" s="28"/>
      <c r="P135" s="28"/>
      <c r="Q135" s="28">
        <f>SUM(H135:P135)</f>
        <v>260000000</v>
      </c>
      <c r="R135" s="74">
        <f t="shared" si="32"/>
        <v>0</v>
      </c>
    </row>
    <row r="136" spans="1:18" s="86" customFormat="1" ht="18" customHeight="1" x14ac:dyDescent="0.2">
      <c r="A136" s="84"/>
      <c r="B136" s="1865" t="s">
        <v>329</v>
      </c>
      <c r="C136" s="1865"/>
      <c r="D136" s="33">
        <f t="shared" ref="D136:Q136" si="48">+D22+D24</f>
        <v>11239380006</v>
      </c>
      <c r="E136" s="33">
        <f t="shared" si="48"/>
        <v>812000000</v>
      </c>
      <c r="F136" s="33">
        <f t="shared" si="48"/>
        <v>0</v>
      </c>
      <c r="G136" s="33">
        <f t="shared" si="48"/>
        <v>12051380006</v>
      </c>
      <c r="H136" s="33">
        <f t="shared" si="48"/>
        <v>1773043594</v>
      </c>
      <c r="I136" s="33">
        <f t="shared" si="48"/>
        <v>6758693958</v>
      </c>
      <c r="J136" s="33">
        <f t="shared" si="48"/>
        <v>179012872</v>
      </c>
      <c r="K136" s="33">
        <f t="shared" si="48"/>
        <v>2455913137</v>
      </c>
      <c r="L136" s="33">
        <f t="shared" si="48"/>
        <v>224142349</v>
      </c>
      <c r="M136" s="33">
        <f t="shared" si="48"/>
        <v>1189834468</v>
      </c>
      <c r="N136" s="33">
        <f t="shared" si="48"/>
        <v>812000000</v>
      </c>
      <c r="O136" s="33">
        <f t="shared" si="48"/>
        <v>998466240</v>
      </c>
      <c r="P136" s="33">
        <f t="shared" si="48"/>
        <v>1122538897</v>
      </c>
      <c r="Q136" s="33">
        <f t="shared" si="48"/>
        <v>15513645515</v>
      </c>
      <c r="R136" s="74"/>
    </row>
    <row r="137" spans="1:18" x14ac:dyDescent="0.2">
      <c r="B137" s="95"/>
      <c r="C137" s="96"/>
      <c r="D137" s="97"/>
      <c r="E137" s="97"/>
      <c r="F137" s="98"/>
      <c r="G137" s="98"/>
      <c r="H137" s="98"/>
      <c r="I137" s="98"/>
      <c r="J137" s="98"/>
      <c r="K137" s="98"/>
      <c r="L137" s="98"/>
      <c r="M137" s="98"/>
      <c r="N137" s="98"/>
      <c r="O137" s="98"/>
      <c r="P137" s="98"/>
      <c r="Q137" s="98"/>
      <c r="R137" s="74"/>
    </row>
    <row r="138" spans="1:18" ht="20.100000000000001" customHeight="1" x14ac:dyDescent="0.2">
      <c r="C138" s="100" t="s">
        <v>330</v>
      </c>
      <c r="D138" s="101"/>
      <c r="E138" s="101">
        <v>812000000</v>
      </c>
      <c r="F138" s="101"/>
      <c r="G138" s="102" t="s">
        <v>331</v>
      </c>
      <c r="Q138" s="102">
        <f>SUM(H138:P138)</f>
        <v>0</v>
      </c>
      <c r="R138" s="74"/>
    </row>
    <row r="139" spans="1:18" s="106" customFormat="1" ht="20.100000000000001" customHeight="1" x14ac:dyDescent="0.2">
      <c r="A139" s="103"/>
      <c r="B139" s="104"/>
      <c r="C139" s="105" t="s">
        <v>332</v>
      </c>
      <c r="D139" s="101">
        <f>+D136</f>
        <v>11239380006</v>
      </c>
      <c r="E139" s="101">
        <f>+E136</f>
        <v>812000000</v>
      </c>
      <c r="F139" s="101">
        <f>+F136</f>
        <v>0</v>
      </c>
      <c r="G139" s="102" t="s">
        <v>333</v>
      </c>
      <c r="H139" s="102">
        <f t="shared" ref="H139:Q139" si="49">+H138-H136</f>
        <v>-1773043594</v>
      </c>
      <c r="I139" s="102">
        <f t="shared" si="49"/>
        <v>-6758693958</v>
      </c>
      <c r="J139" s="102">
        <f t="shared" si="49"/>
        <v>-179012872</v>
      </c>
      <c r="K139" s="102">
        <f t="shared" si="49"/>
        <v>-2455913137</v>
      </c>
      <c r="L139" s="102">
        <f t="shared" si="49"/>
        <v>-224142349</v>
      </c>
      <c r="M139" s="102">
        <f t="shared" si="49"/>
        <v>-1189834468</v>
      </c>
      <c r="N139" s="102">
        <f t="shared" si="49"/>
        <v>-812000000</v>
      </c>
      <c r="O139" s="102">
        <f t="shared" si="49"/>
        <v>-998466240</v>
      </c>
      <c r="P139" s="102">
        <f t="shared" si="49"/>
        <v>-1122538897</v>
      </c>
      <c r="Q139" s="102">
        <f t="shared" si="49"/>
        <v>-15513645515</v>
      </c>
      <c r="R139" s="74"/>
    </row>
    <row r="140" spans="1:18" s="106" customFormat="1" ht="20.100000000000001" customHeight="1" x14ac:dyDescent="0.2">
      <c r="A140" s="103"/>
      <c r="B140" s="104"/>
      <c r="C140" s="105" t="s">
        <v>334</v>
      </c>
      <c r="D140" s="101">
        <f>+D138-D139</f>
        <v>-11239380006</v>
      </c>
      <c r="E140" s="101">
        <f>+E138-E139</f>
        <v>0</v>
      </c>
      <c r="F140" s="101">
        <f>+F138-F139</f>
        <v>0</v>
      </c>
      <c r="G140" s="102"/>
      <c r="H140" s="102"/>
      <c r="I140" s="102"/>
      <c r="J140" s="102"/>
      <c r="K140" s="102"/>
      <c r="L140" s="102"/>
      <c r="M140" s="102"/>
      <c r="N140" s="102"/>
      <c r="O140" s="102"/>
      <c r="P140" s="102"/>
      <c r="Q140" s="102"/>
    </row>
    <row r="141" spans="1:18" x14ac:dyDescent="0.2">
      <c r="C141" s="107"/>
      <c r="O141" s="108"/>
    </row>
    <row r="142" spans="1:18" ht="78.75" x14ac:dyDescent="0.2">
      <c r="C142" s="107"/>
      <c r="D142" s="109">
        <f>+D136+E136</f>
        <v>12051380006</v>
      </c>
      <c r="E142" s="109"/>
      <c r="F142" s="110" t="s">
        <v>335</v>
      </c>
      <c r="G142" s="102">
        <f>SUM(D136:F136)</f>
        <v>12051380006</v>
      </c>
      <c r="J142" s="111" t="s">
        <v>210</v>
      </c>
      <c r="K142" s="111" t="s">
        <v>336</v>
      </c>
      <c r="L142" s="111" t="s">
        <v>337</v>
      </c>
      <c r="M142" s="111" t="s">
        <v>336</v>
      </c>
      <c r="O142" s="112" t="s">
        <v>338</v>
      </c>
      <c r="P142" s="112" t="s">
        <v>339</v>
      </c>
    </row>
    <row r="143" spans="1:18" ht="45" x14ac:dyDescent="0.2">
      <c r="C143" s="107"/>
      <c r="G143" s="113"/>
      <c r="K143" s="114" t="s">
        <v>336</v>
      </c>
      <c r="L143" s="114" t="s">
        <v>337</v>
      </c>
      <c r="O143" s="112" t="s">
        <v>340</v>
      </c>
      <c r="P143" s="112" t="s">
        <v>341</v>
      </c>
    </row>
    <row r="144" spans="1:18" ht="56.25" x14ac:dyDescent="0.2">
      <c r="C144" s="115"/>
      <c r="K144" s="114" t="s">
        <v>342</v>
      </c>
      <c r="L144" s="114" t="s">
        <v>343</v>
      </c>
      <c r="O144" s="112" t="s">
        <v>344</v>
      </c>
      <c r="P144" s="112" t="s">
        <v>345</v>
      </c>
    </row>
    <row r="145" spans="2:17" ht="45" x14ac:dyDescent="0.2">
      <c r="B145" s="64"/>
      <c r="C145" s="115"/>
      <c r="K145" s="114" t="s">
        <v>346</v>
      </c>
      <c r="O145" s="112" t="s">
        <v>347</v>
      </c>
      <c r="P145" s="112" t="s">
        <v>348</v>
      </c>
      <c r="Q145" s="64"/>
    </row>
    <row r="146" spans="2:17" ht="45" x14ac:dyDescent="0.2">
      <c r="B146" s="64"/>
      <c r="C146" s="107"/>
      <c r="O146" s="112" t="s">
        <v>349</v>
      </c>
      <c r="P146" s="64"/>
      <c r="Q146" s="64"/>
    </row>
    <row r="147" spans="2:17" x14ac:dyDescent="0.2">
      <c r="B147" s="64"/>
      <c r="O147" s="64"/>
      <c r="P147" s="64"/>
      <c r="Q147" s="64"/>
    </row>
    <row r="148" spans="2:17" x14ac:dyDescent="0.2">
      <c r="B148" s="64"/>
      <c r="O148" s="112" t="s">
        <v>350</v>
      </c>
      <c r="P148" s="64" t="s">
        <v>351</v>
      </c>
      <c r="Q148" s="64"/>
    </row>
    <row r="149" spans="2:17" ht="90" x14ac:dyDescent="0.2">
      <c r="B149" s="64"/>
      <c r="O149" s="112" t="s">
        <v>352</v>
      </c>
      <c r="P149" s="112" t="s">
        <v>353</v>
      </c>
      <c r="Q149" s="64"/>
    </row>
    <row r="150" spans="2:17" x14ac:dyDescent="0.2">
      <c r="B150" s="64"/>
      <c r="O150" s="112"/>
      <c r="P150" s="64"/>
      <c r="Q150" s="64"/>
    </row>
    <row r="151" spans="2:17" x14ac:dyDescent="0.2">
      <c r="B151" s="64"/>
      <c r="O151" s="112"/>
      <c r="P151" s="64"/>
      <c r="Q151" s="64"/>
    </row>
    <row r="152" spans="2:17" x14ac:dyDescent="0.2">
      <c r="B152" s="64"/>
      <c r="O152" s="112"/>
      <c r="P152" s="64"/>
      <c r="Q152" s="64"/>
    </row>
  </sheetData>
  <mergeCells count="77">
    <mergeCell ref="B1:Q1"/>
    <mergeCell ref="B2:Q2"/>
    <mergeCell ref="D3:G3"/>
    <mergeCell ref="H3:Q3"/>
    <mergeCell ref="B3:B4"/>
    <mergeCell ref="C3:C4"/>
    <mergeCell ref="J39:J40"/>
    <mergeCell ref="K39:K40"/>
    <mergeCell ref="B27:B29"/>
    <mergeCell ref="B30:B33"/>
    <mergeCell ref="B34:B36"/>
    <mergeCell ref="D39:D40"/>
    <mergeCell ref="F39:F40"/>
    <mergeCell ref="Q39:Q40"/>
    <mergeCell ref="R39:R40"/>
    <mergeCell ref="B38:B41"/>
    <mergeCell ref="B50:B53"/>
    <mergeCell ref="K51:K53"/>
    <mergeCell ref="O51:O53"/>
    <mergeCell ref="Q51:Q53"/>
    <mergeCell ref="R51:R53"/>
    <mergeCell ref="L39:L40"/>
    <mergeCell ref="M39:M40"/>
    <mergeCell ref="N39:N40"/>
    <mergeCell ref="O39:O40"/>
    <mergeCell ref="P39:P40"/>
    <mergeCell ref="G39:G40"/>
    <mergeCell ref="H39:H40"/>
    <mergeCell ref="I39:I40"/>
    <mergeCell ref="B54:B56"/>
    <mergeCell ref="B57:B60"/>
    <mergeCell ref="K58:K60"/>
    <mergeCell ref="O58:O60"/>
    <mergeCell ref="Q58:Q60"/>
    <mergeCell ref="R58:R60"/>
    <mergeCell ref="B61:B62"/>
    <mergeCell ref="B63:B64"/>
    <mergeCell ref="B84:B86"/>
    <mergeCell ref="B88:B92"/>
    <mergeCell ref="D89:D92"/>
    <mergeCell ref="E89:E92"/>
    <mergeCell ref="F89:F92"/>
    <mergeCell ref="G89:G92"/>
    <mergeCell ref="H89:H92"/>
    <mergeCell ref="I89:I92"/>
    <mergeCell ref="J89:J92"/>
    <mergeCell ref="K89:K92"/>
    <mergeCell ref="L89:L92"/>
    <mergeCell ref="M89:M92"/>
    <mergeCell ref="N89:N92"/>
    <mergeCell ref="O89:O92"/>
    <mergeCell ref="P89:P92"/>
    <mergeCell ref="Q89:Q92"/>
    <mergeCell ref="R89:R92"/>
    <mergeCell ref="B93:B96"/>
    <mergeCell ref="D94:D96"/>
    <mergeCell ref="E94:E96"/>
    <mergeCell ref="F94:F96"/>
    <mergeCell ref="G94:G96"/>
    <mergeCell ref="H94:H96"/>
    <mergeCell ref="I94:I96"/>
    <mergeCell ref="J94:J96"/>
    <mergeCell ref="K94:K96"/>
    <mergeCell ref="L94:L96"/>
    <mergeCell ref="M94:M96"/>
    <mergeCell ref="N94:N96"/>
    <mergeCell ref="O94:O96"/>
    <mergeCell ref="P94:P96"/>
    <mergeCell ref="Q94:Q96"/>
    <mergeCell ref="R94:R96"/>
    <mergeCell ref="B99:B102"/>
    <mergeCell ref="B136:C136"/>
    <mergeCell ref="B103:B104"/>
    <mergeCell ref="B112:B113"/>
    <mergeCell ref="B114:B115"/>
    <mergeCell ref="B117:B119"/>
    <mergeCell ref="B133:B13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17"/>
  <sheetViews>
    <sheetView topLeftCell="C12" workbookViewId="0">
      <selection activeCell="C12" sqref="C12"/>
    </sheetView>
  </sheetViews>
  <sheetFormatPr baseColWidth="10" defaultColWidth="11.42578125" defaultRowHeight="12.75" x14ac:dyDescent="0.2"/>
  <cols>
    <col min="1" max="2" width="35.28515625" style="13" customWidth="1"/>
    <col min="3" max="3" width="36.85546875" style="13" customWidth="1"/>
    <col min="4" max="4" width="16" style="3" bestFit="1" customWidth="1"/>
    <col min="5" max="6" width="15.7109375" style="3" bestFit="1" customWidth="1"/>
    <col min="7" max="7" width="12.7109375" style="3" customWidth="1"/>
    <col min="8" max="8" width="13.42578125" style="3" customWidth="1"/>
    <col min="9" max="9" width="14.28515625" style="3" customWidth="1"/>
    <col min="10" max="10" width="13.42578125" style="3" bestFit="1" customWidth="1"/>
    <col min="11" max="11" width="12.7109375" style="3" customWidth="1"/>
    <col min="12" max="13" width="14.42578125" style="3" customWidth="1"/>
    <col min="14" max="14" width="14.28515625" style="3" customWidth="1"/>
    <col min="15" max="15" width="12.7109375" style="3" customWidth="1"/>
    <col min="16" max="16" width="14.85546875" style="3" customWidth="1"/>
    <col min="17" max="17" width="14.28515625" style="3" customWidth="1"/>
    <col min="18" max="18" width="13.42578125" style="3" bestFit="1" customWidth="1"/>
    <col min="19" max="19" width="12.7109375" style="3" customWidth="1"/>
    <col min="20" max="20" width="17.7109375" style="3" customWidth="1"/>
    <col min="21" max="256" width="11.42578125" style="3"/>
  </cols>
  <sheetData>
    <row r="2" spans="1:20" x14ac:dyDescent="0.2">
      <c r="A2" s="4"/>
      <c r="B2" s="4"/>
      <c r="C2" s="4"/>
      <c r="D2" s="1845" t="s">
        <v>12</v>
      </c>
      <c r="E2" s="1845"/>
      <c r="F2" s="1845"/>
      <c r="G2" s="1845"/>
      <c r="H2" s="1845"/>
      <c r="I2" s="1845"/>
      <c r="J2" s="1845"/>
      <c r="K2" s="1845"/>
      <c r="L2" s="1845"/>
      <c r="M2" s="1845"/>
      <c r="N2" s="1845"/>
      <c r="O2" s="1845"/>
      <c r="P2" s="1845"/>
      <c r="Q2" s="1845"/>
      <c r="R2" s="1845"/>
      <c r="S2" s="1845"/>
      <c r="T2" s="1845"/>
    </row>
    <row r="3" spans="1:20" s="1" customFormat="1" ht="12.95" customHeight="1" x14ac:dyDescent="0.2">
      <c r="A3" s="1483" t="s">
        <v>4</v>
      </c>
      <c r="B3" s="1770" t="s">
        <v>4</v>
      </c>
      <c r="C3" s="1483" t="s">
        <v>11</v>
      </c>
      <c r="D3" s="1845">
        <v>2016</v>
      </c>
      <c r="E3" s="1845"/>
      <c r="F3" s="1845"/>
      <c r="G3" s="1845"/>
      <c r="H3" s="1845">
        <v>2017</v>
      </c>
      <c r="I3" s="1845"/>
      <c r="J3" s="1845"/>
      <c r="K3" s="1845"/>
      <c r="L3" s="1845">
        <v>2018</v>
      </c>
      <c r="M3" s="1845"/>
      <c r="N3" s="1845"/>
      <c r="O3" s="1845"/>
      <c r="P3" s="1845">
        <v>2019</v>
      </c>
      <c r="Q3" s="1845"/>
      <c r="R3" s="1845"/>
      <c r="S3" s="1845"/>
      <c r="T3" s="1845" t="s">
        <v>7</v>
      </c>
    </row>
    <row r="4" spans="1:20" s="1" customFormat="1" ht="33.75" x14ac:dyDescent="0.2">
      <c r="A4" s="1483"/>
      <c r="B4" s="1890"/>
      <c r="C4" s="1483"/>
      <c r="D4" s="40" t="s">
        <v>14</v>
      </c>
      <c r="E4" s="40" t="s">
        <v>13</v>
      </c>
      <c r="F4" s="40" t="s">
        <v>5</v>
      </c>
      <c r="G4" s="40" t="s">
        <v>17</v>
      </c>
      <c r="H4" s="40" t="s">
        <v>14</v>
      </c>
      <c r="I4" s="40" t="s">
        <v>13</v>
      </c>
      <c r="J4" s="40" t="s">
        <v>5</v>
      </c>
      <c r="K4" s="40" t="s">
        <v>17</v>
      </c>
      <c r="L4" s="40" t="s">
        <v>14</v>
      </c>
      <c r="M4" s="40" t="s">
        <v>13</v>
      </c>
      <c r="N4" s="40" t="s">
        <v>5</v>
      </c>
      <c r="O4" s="40" t="s">
        <v>17</v>
      </c>
      <c r="P4" s="40" t="s">
        <v>14</v>
      </c>
      <c r="Q4" s="40" t="s">
        <v>13</v>
      </c>
      <c r="R4" s="40" t="s">
        <v>5</v>
      </c>
      <c r="S4" s="40" t="s">
        <v>17</v>
      </c>
      <c r="T4" s="1845"/>
    </row>
    <row r="5" spans="1:20" ht="38.25" x14ac:dyDescent="0.2">
      <c r="A5" s="14" t="s">
        <v>18</v>
      </c>
      <c r="B5" s="5"/>
      <c r="C5" s="2"/>
      <c r="D5" s="27">
        <f>+D6+D9+D13</f>
        <v>529432040</v>
      </c>
      <c r="E5" s="41"/>
      <c r="F5" s="10"/>
      <c r="G5" s="10"/>
      <c r="H5" s="10"/>
      <c r="I5" s="10"/>
      <c r="J5" s="10"/>
      <c r="K5" s="10"/>
      <c r="L5" s="10"/>
      <c r="M5" s="10"/>
      <c r="N5" s="10"/>
      <c r="O5" s="10"/>
      <c r="P5" s="10"/>
      <c r="Q5" s="10"/>
      <c r="R5" s="10"/>
      <c r="S5" s="10"/>
      <c r="T5" s="10"/>
    </row>
    <row r="6" spans="1:20" ht="33.75" x14ac:dyDescent="0.2">
      <c r="A6" s="15" t="s">
        <v>19</v>
      </c>
      <c r="B6" s="41"/>
      <c r="C6" s="2"/>
      <c r="D6" s="28">
        <f>SUM(D7:D8)</f>
        <v>165000000</v>
      </c>
      <c r="E6" s="42"/>
      <c r="F6" s="10"/>
      <c r="G6" s="10"/>
      <c r="H6" s="10"/>
      <c r="I6" s="10"/>
      <c r="J6" s="10"/>
      <c r="K6" s="10"/>
      <c r="L6" s="10"/>
      <c r="M6" s="10"/>
      <c r="N6" s="10"/>
      <c r="O6" s="10"/>
      <c r="P6" s="10"/>
      <c r="Q6" s="10"/>
      <c r="R6" s="10"/>
      <c r="S6" s="10"/>
      <c r="T6" s="10"/>
    </row>
    <row r="7" spans="1:20" ht="33.75" x14ac:dyDescent="0.2">
      <c r="A7" s="16" t="s">
        <v>248</v>
      </c>
      <c r="B7" s="41"/>
      <c r="C7" s="2"/>
      <c r="D7" s="29">
        <v>135000000</v>
      </c>
      <c r="E7" s="42"/>
      <c r="F7" s="8"/>
      <c r="G7" s="8"/>
      <c r="H7" s="8"/>
      <c r="I7" s="8"/>
      <c r="J7" s="8"/>
      <c r="K7" s="8"/>
      <c r="L7" s="8"/>
      <c r="M7" s="8"/>
      <c r="N7" s="8"/>
      <c r="O7" s="8"/>
      <c r="P7" s="8"/>
      <c r="Q7" s="8"/>
      <c r="R7" s="8"/>
      <c r="S7" s="8"/>
      <c r="T7" s="8"/>
    </row>
    <row r="8" spans="1:20" ht="22.5" x14ac:dyDescent="0.2">
      <c r="A8" s="16" t="s">
        <v>20</v>
      </c>
      <c r="B8" s="41"/>
      <c r="C8" s="2"/>
      <c r="D8" s="29">
        <v>30000000</v>
      </c>
      <c r="E8" s="41"/>
      <c r="F8" s="8"/>
      <c r="G8" s="8"/>
      <c r="H8" s="8"/>
      <c r="I8" s="8"/>
      <c r="J8" s="8"/>
      <c r="K8" s="8"/>
      <c r="L8" s="8"/>
      <c r="M8" s="8"/>
      <c r="N8" s="8"/>
      <c r="O8" s="8"/>
      <c r="P8" s="8"/>
      <c r="Q8" s="8"/>
      <c r="R8" s="8"/>
      <c r="S8" s="8"/>
      <c r="T8" s="8"/>
    </row>
    <row r="9" spans="1:20" x14ac:dyDescent="0.2">
      <c r="A9" s="17" t="s">
        <v>21</v>
      </c>
      <c r="B9" s="42"/>
      <c r="C9" s="2"/>
      <c r="D9" s="28">
        <f>SUM(D10:D12)</f>
        <v>230000000</v>
      </c>
      <c r="E9" s="41"/>
      <c r="F9" s="10"/>
      <c r="G9" s="10"/>
      <c r="H9" s="10"/>
      <c r="I9" s="10"/>
      <c r="J9" s="10"/>
      <c r="K9" s="10"/>
      <c r="L9" s="10"/>
      <c r="M9" s="10"/>
      <c r="N9" s="10"/>
      <c r="O9" s="10"/>
      <c r="P9" s="10"/>
      <c r="Q9" s="10"/>
      <c r="R9" s="10"/>
      <c r="S9" s="10"/>
      <c r="T9" s="10"/>
    </row>
    <row r="10" spans="1:20" x14ac:dyDescent="0.2">
      <c r="A10" s="18" t="s">
        <v>22</v>
      </c>
      <c r="B10" s="42"/>
      <c r="C10" s="2"/>
      <c r="D10" s="30">
        <v>120000000</v>
      </c>
      <c r="E10" s="42"/>
      <c r="F10" s="10"/>
      <c r="G10" s="10"/>
      <c r="H10" s="10"/>
      <c r="I10" s="10"/>
      <c r="J10" s="10"/>
      <c r="K10" s="10"/>
      <c r="L10" s="10"/>
      <c r="M10" s="10"/>
      <c r="N10" s="10"/>
      <c r="O10" s="10"/>
      <c r="P10" s="10"/>
      <c r="Q10" s="10"/>
      <c r="R10" s="10"/>
      <c r="S10" s="10"/>
      <c r="T10" s="10"/>
    </row>
    <row r="11" spans="1:20" ht="22.5" x14ac:dyDescent="0.2">
      <c r="A11" s="16" t="s">
        <v>23</v>
      </c>
      <c r="B11" s="41"/>
      <c r="C11" s="2"/>
      <c r="D11" s="30">
        <v>85000000</v>
      </c>
      <c r="E11" s="42"/>
      <c r="F11" s="10"/>
      <c r="G11" s="10"/>
      <c r="H11" s="10"/>
      <c r="I11" s="10"/>
      <c r="J11" s="10"/>
      <c r="K11" s="10"/>
      <c r="L11" s="10"/>
      <c r="M11" s="10"/>
      <c r="N11" s="10"/>
      <c r="O11" s="10"/>
      <c r="P11" s="10"/>
      <c r="Q11" s="10"/>
      <c r="R11" s="10"/>
      <c r="S11" s="10"/>
      <c r="T11" s="10"/>
    </row>
    <row r="12" spans="1:20" x14ac:dyDescent="0.2">
      <c r="A12" s="41" t="s">
        <v>24</v>
      </c>
      <c r="B12" s="41"/>
      <c r="C12" s="2"/>
      <c r="D12" s="29">
        <v>25000000</v>
      </c>
      <c r="E12" s="41"/>
      <c r="F12" s="10"/>
      <c r="G12" s="10"/>
      <c r="H12" s="10"/>
      <c r="I12" s="10"/>
      <c r="J12" s="10"/>
      <c r="K12" s="10"/>
      <c r="L12" s="10"/>
      <c r="M12" s="10"/>
      <c r="N12" s="10"/>
      <c r="O12" s="10"/>
      <c r="P12" s="10"/>
      <c r="Q12" s="10"/>
      <c r="R12" s="10"/>
      <c r="S12" s="10"/>
      <c r="T12" s="10"/>
    </row>
    <row r="13" spans="1:20" s="7" customFormat="1" ht="22.5" x14ac:dyDescent="0.2">
      <c r="A13" s="17" t="s">
        <v>25</v>
      </c>
      <c r="B13" s="42"/>
      <c r="C13" s="4"/>
      <c r="D13" s="28">
        <f>SUM(D14:D15)</f>
        <v>134432040</v>
      </c>
      <c r="E13" s="5"/>
      <c r="F13" s="6"/>
      <c r="G13" s="6"/>
      <c r="H13" s="6"/>
      <c r="I13" s="6"/>
      <c r="J13" s="6"/>
      <c r="K13" s="6"/>
      <c r="L13" s="6"/>
      <c r="M13" s="6"/>
      <c r="N13" s="6"/>
      <c r="O13" s="6"/>
      <c r="P13" s="6"/>
      <c r="Q13" s="6"/>
      <c r="R13" s="6"/>
      <c r="S13" s="6"/>
      <c r="T13" s="6"/>
    </row>
    <row r="14" spans="1:20" ht="22.5" x14ac:dyDescent="0.2">
      <c r="A14" s="42" t="s">
        <v>26</v>
      </c>
      <c r="B14" s="42"/>
      <c r="C14" s="2"/>
      <c r="D14" s="29">
        <v>62037176</v>
      </c>
      <c r="E14" s="42"/>
      <c r="F14" s="10"/>
      <c r="G14" s="10"/>
      <c r="H14" s="10"/>
      <c r="I14" s="10"/>
      <c r="J14" s="10"/>
      <c r="K14" s="10"/>
      <c r="L14" s="10"/>
      <c r="M14" s="10"/>
      <c r="N14" s="10"/>
      <c r="O14" s="10"/>
      <c r="P14" s="10"/>
      <c r="Q14" s="10"/>
      <c r="R14" s="10"/>
      <c r="S14" s="10"/>
      <c r="T14" s="10"/>
    </row>
    <row r="15" spans="1:20" x14ac:dyDescent="0.2">
      <c r="A15" s="16" t="s">
        <v>27</v>
      </c>
      <c r="B15" s="41"/>
      <c r="C15" s="9"/>
      <c r="D15" s="29">
        <v>72394864</v>
      </c>
      <c r="E15" s="41"/>
      <c r="F15" s="1891"/>
      <c r="G15" s="10"/>
      <c r="H15" s="10"/>
      <c r="I15" s="10"/>
      <c r="J15" s="10"/>
      <c r="K15" s="10"/>
      <c r="L15" s="10"/>
      <c r="M15" s="10"/>
      <c r="N15" s="10"/>
      <c r="O15" s="10"/>
      <c r="P15" s="10"/>
      <c r="Q15" s="10"/>
      <c r="R15" s="10"/>
      <c r="S15" s="10"/>
      <c r="T15" s="10"/>
    </row>
    <row r="16" spans="1:20" x14ac:dyDescent="0.2">
      <c r="A16" s="14" t="s">
        <v>28</v>
      </c>
      <c r="B16" s="5"/>
      <c r="C16" s="2"/>
      <c r="D16" s="27">
        <f>+D17</f>
        <v>91738427</v>
      </c>
      <c r="E16" s="41"/>
      <c r="F16" s="1891"/>
      <c r="G16" s="10"/>
      <c r="H16" s="10"/>
      <c r="I16" s="10"/>
      <c r="J16" s="10"/>
      <c r="K16" s="10"/>
      <c r="L16" s="10"/>
      <c r="M16" s="10"/>
      <c r="N16" s="10"/>
      <c r="O16" s="10"/>
      <c r="P16" s="10"/>
      <c r="Q16" s="10"/>
      <c r="R16" s="10"/>
      <c r="S16" s="10"/>
      <c r="T16" s="10"/>
    </row>
    <row r="17" spans="1:20" ht="22.5" x14ac:dyDescent="0.2">
      <c r="A17" s="17" t="s">
        <v>29</v>
      </c>
      <c r="B17" s="42"/>
      <c r="C17" s="2"/>
      <c r="D17" s="28">
        <f>SUM(D18:D20)</f>
        <v>91738427</v>
      </c>
      <c r="E17" s="41"/>
      <c r="F17" s="10"/>
      <c r="G17" s="10"/>
      <c r="H17" s="10"/>
      <c r="I17" s="10"/>
      <c r="J17" s="10"/>
      <c r="K17" s="10"/>
      <c r="L17" s="10"/>
      <c r="M17" s="10"/>
      <c r="N17" s="10"/>
      <c r="O17" s="10"/>
      <c r="P17" s="10"/>
      <c r="Q17" s="10"/>
      <c r="R17" s="10"/>
      <c r="S17" s="10"/>
      <c r="T17" s="10"/>
    </row>
    <row r="18" spans="1:20" s="7" customFormat="1" ht="22.5" x14ac:dyDescent="0.2">
      <c r="A18" s="16" t="s">
        <v>30</v>
      </c>
      <c r="B18" s="41"/>
      <c r="C18" s="4"/>
      <c r="D18" s="1868">
        <v>61738427</v>
      </c>
      <c r="E18" s="5"/>
      <c r="F18" s="6"/>
      <c r="G18" s="6"/>
      <c r="H18" s="6"/>
      <c r="I18" s="6"/>
      <c r="J18" s="6"/>
      <c r="K18" s="6"/>
      <c r="L18" s="6"/>
      <c r="M18" s="6"/>
      <c r="N18" s="6"/>
      <c r="O18" s="6"/>
      <c r="P18" s="6"/>
      <c r="Q18" s="6"/>
      <c r="R18" s="6"/>
      <c r="S18" s="6"/>
      <c r="T18" s="6"/>
    </row>
    <row r="19" spans="1:20" ht="22.5" x14ac:dyDescent="0.2">
      <c r="A19" s="16" t="s">
        <v>253</v>
      </c>
      <c r="B19" s="41"/>
      <c r="C19" s="2"/>
      <c r="D19" s="1868"/>
      <c r="E19" s="41"/>
      <c r="F19" s="10"/>
      <c r="G19" s="10"/>
      <c r="H19" s="10"/>
      <c r="I19" s="10"/>
      <c r="J19" s="10"/>
      <c r="K19" s="10"/>
      <c r="L19" s="10"/>
      <c r="M19" s="10"/>
      <c r="N19" s="10"/>
      <c r="O19" s="10"/>
      <c r="P19" s="10"/>
      <c r="Q19" s="10"/>
      <c r="R19" s="10"/>
      <c r="S19" s="10"/>
      <c r="T19" s="10"/>
    </row>
    <row r="20" spans="1:20" ht="33.75" x14ac:dyDescent="0.2">
      <c r="A20" s="41" t="s">
        <v>31</v>
      </c>
      <c r="B20" s="41"/>
      <c r="C20" s="2"/>
      <c r="D20" s="10">
        <v>30000000</v>
      </c>
      <c r="E20" s="41"/>
      <c r="F20" s="10"/>
      <c r="G20" s="10"/>
      <c r="H20" s="10"/>
      <c r="I20" s="10"/>
      <c r="J20" s="10"/>
      <c r="K20" s="10"/>
      <c r="L20" s="10"/>
      <c r="M20" s="10"/>
      <c r="N20" s="10"/>
      <c r="O20" s="10"/>
      <c r="P20" s="10"/>
      <c r="Q20" s="10"/>
      <c r="R20" s="10"/>
      <c r="S20" s="10"/>
      <c r="T20" s="10"/>
    </row>
    <row r="21" spans="1:20" ht="25.5" x14ac:dyDescent="0.2">
      <c r="A21" s="14" t="s">
        <v>32</v>
      </c>
      <c r="B21" s="5"/>
      <c r="C21" s="2"/>
      <c r="D21" s="27">
        <f>+D22+D29+D33+D36+D40+D42</f>
        <v>4726785146</v>
      </c>
      <c r="E21" s="42"/>
      <c r="F21" s="10"/>
      <c r="G21" s="10"/>
      <c r="H21" s="10"/>
      <c r="I21" s="10"/>
      <c r="J21" s="10"/>
      <c r="K21" s="10"/>
      <c r="L21" s="10"/>
      <c r="M21" s="10"/>
      <c r="N21" s="10"/>
      <c r="O21" s="10"/>
      <c r="P21" s="10"/>
      <c r="Q21" s="10"/>
      <c r="R21" s="10"/>
      <c r="S21" s="10"/>
      <c r="T21" s="10"/>
    </row>
    <row r="22" spans="1:20" ht="33.75" x14ac:dyDescent="0.2">
      <c r="A22" s="15" t="s">
        <v>33</v>
      </c>
      <c r="B22" s="41"/>
      <c r="C22" s="2"/>
      <c r="D22" s="28">
        <f>SUM(D23:D28)</f>
        <v>1119012872</v>
      </c>
      <c r="E22" s="42"/>
      <c r="F22" s="10"/>
      <c r="G22" s="10"/>
      <c r="H22" s="10"/>
      <c r="I22" s="10"/>
      <c r="J22" s="10"/>
      <c r="K22" s="10"/>
      <c r="L22" s="10"/>
      <c r="M22" s="10"/>
      <c r="N22" s="10"/>
      <c r="O22" s="10"/>
      <c r="P22" s="10"/>
      <c r="Q22" s="10"/>
      <c r="R22" s="10"/>
      <c r="S22" s="10"/>
      <c r="T22" s="10"/>
    </row>
    <row r="23" spans="1:20" ht="33.75" x14ac:dyDescent="0.2">
      <c r="A23" s="16" t="s">
        <v>34</v>
      </c>
      <c r="B23" s="41"/>
      <c r="C23" s="2"/>
      <c r="D23" s="29">
        <v>340000000</v>
      </c>
      <c r="E23" s="42"/>
      <c r="F23" s="10"/>
      <c r="G23" s="10"/>
      <c r="H23" s="10"/>
      <c r="I23" s="10"/>
      <c r="J23" s="10"/>
      <c r="K23" s="10"/>
      <c r="L23" s="10"/>
      <c r="M23" s="10"/>
      <c r="N23" s="10"/>
      <c r="O23" s="10"/>
      <c r="P23" s="10"/>
      <c r="Q23" s="10"/>
      <c r="R23" s="10"/>
      <c r="S23" s="10"/>
      <c r="T23" s="10"/>
    </row>
    <row r="24" spans="1:20" ht="22.5" x14ac:dyDescent="0.2">
      <c r="A24" s="18" t="s">
        <v>35</v>
      </c>
      <c r="B24" s="42"/>
      <c r="C24" s="2"/>
      <c r="D24" s="29">
        <v>300000000</v>
      </c>
      <c r="E24" s="42"/>
      <c r="F24" s="10"/>
      <c r="G24" s="10"/>
      <c r="H24" s="10"/>
      <c r="I24" s="10"/>
      <c r="J24" s="10"/>
      <c r="K24" s="10"/>
      <c r="L24" s="10"/>
      <c r="M24" s="10"/>
      <c r="N24" s="10"/>
      <c r="O24" s="10"/>
      <c r="P24" s="10"/>
      <c r="Q24" s="10"/>
      <c r="R24" s="10"/>
      <c r="S24" s="10"/>
      <c r="T24" s="10"/>
    </row>
    <row r="25" spans="1:20" ht="22.5" x14ac:dyDescent="0.2">
      <c r="A25" s="18" t="s">
        <v>36</v>
      </c>
      <c r="B25" s="42"/>
      <c r="C25" s="2"/>
      <c r="D25" s="29">
        <v>100000000</v>
      </c>
      <c r="E25" s="42"/>
      <c r="F25" s="10"/>
      <c r="G25" s="10"/>
      <c r="H25" s="10"/>
      <c r="I25" s="10"/>
      <c r="J25" s="10"/>
      <c r="K25" s="10"/>
      <c r="L25" s="10"/>
      <c r="M25" s="10"/>
      <c r="N25" s="10"/>
      <c r="O25" s="10"/>
      <c r="P25" s="10"/>
      <c r="Q25" s="10"/>
      <c r="R25" s="10"/>
      <c r="S25" s="10"/>
      <c r="T25" s="10"/>
    </row>
    <row r="26" spans="1:20" ht="33.75" x14ac:dyDescent="0.2">
      <c r="A26" s="18" t="s">
        <v>37</v>
      </c>
      <c r="B26" s="42"/>
      <c r="C26" s="2"/>
      <c r="D26" s="29">
        <v>200000000</v>
      </c>
      <c r="E26" s="41"/>
      <c r="F26" s="10"/>
      <c r="G26" s="10"/>
      <c r="H26" s="10"/>
      <c r="I26" s="10"/>
      <c r="J26" s="10"/>
      <c r="K26" s="10"/>
      <c r="L26" s="10"/>
      <c r="M26" s="10"/>
      <c r="N26" s="10"/>
      <c r="O26" s="10"/>
      <c r="P26" s="10"/>
      <c r="Q26" s="10"/>
      <c r="R26" s="10"/>
      <c r="S26" s="10"/>
      <c r="T26" s="10"/>
    </row>
    <row r="27" spans="1:20" ht="33.75" x14ac:dyDescent="0.2">
      <c r="A27" s="18" t="s">
        <v>38</v>
      </c>
      <c r="B27" s="42"/>
      <c r="C27" s="2"/>
      <c r="D27" s="29">
        <v>89506436</v>
      </c>
      <c r="E27" s="41"/>
      <c r="F27" s="10"/>
      <c r="G27" s="10"/>
      <c r="H27" s="10"/>
      <c r="I27" s="10"/>
      <c r="J27" s="10"/>
      <c r="K27" s="10"/>
      <c r="L27" s="10"/>
      <c r="M27" s="10"/>
      <c r="N27" s="10"/>
      <c r="O27" s="10"/>
      <c r="P27" s="10"/>
      <c r="Q27" s="10"/>
      <c r="R27" s="10"/>
      <c r="S27" s="10"/>
      <c r="T27" s="10"/>
    </row>
    <row r="28" spans="1:20" ht="45" x14ac:dyDescent="0.2">
      <c r="A28" s="18" t="s">
        <v>39</v>
      </c>
      <c r="B28" s="42"/>
      <c r="C28" s="2"/>
      <c r="D28" s="29">
        <v>89506436</v>
      </c>
      <c r="E28" s="41"/>
      <c r="F28" s="10"/>
      <c r="G28" s="10"/>
      <c r="H28" s="10"/>
      <c r="I28" s="10"/>
      <c r="J28" s="10"/>
      <c r="K28" s="10"/>
      <c r="L28" s="10"/>
      <c r="M28" s="10"/>
      <c r="N28" s="10"/>
      <c r="O28" s="10"/>
      <c r="P28" s="10"/>
      <c r="Q28" s="10"/>
      <c r="R28" s="10"/>
      <c r="S28" s="10"/>
      <c r="T28" s="10"/>
    </row>
    <row r="29" spans="1:20" ht="22.5" x14ac:dyDescent="0.2">
      <c r="A29" s="15" t="s">
        <v>264</v>
      </c>
      <c r="B29" s="41"/>
      <c r="C29" s="2"/>
      <c r="D29" s="28">
        <f>SUM(D30:D32)</f>
        <v>705758475</v>
      </c>
      <c r="E29" s="41"/>
      <c r="F29" s="10"/>
      <c r="G29" s="10"/>
      <c r="H29" s="10"/>
      <c r="I29" s="10"/>
      <c r="J29" s="10"/>
      <c r="K29" s="10"/>
      <c r="L29" s="10"/>
      <c r="M29" s="10"/>
      <c r="N29" s="10"/>
      <c r="O29" s="10"/>
      <c r="P29" s="10"/>
      <c r="Q29" s="10"/>
      <c r="R29" s="10"/>
      <c r="S29" s="10"/>
      <c r="T29" s="10"/>
    </row>
    <row r="30" spans="1:20" ht="22.5" x14ac:dyDescent="0.2">
      <c r="A30" s="16" t="s">
        <v>40</v>
      </c>
      <c r="B30" s="41"/>
      <c r="C30" s="2"/>
      <c r="D30" s="29">
        <v>489000000</v>
      </c>
      <c r="E30" s="41"/>
      <c r="F30" s="10"/>
      <c r="G30" s="10"/>
      <c r="H30" s="10"/>
      <c r="I30" s="10"/>
      <c r="J30" s="10"/>
      <c r="K30" s="10"/>
      <c r="L30" s="10"/>
      <c r="M30" s="10"/>
      <c r="N30" s="10"/>
      <c r="O30" s="10"/>
      <c r="P30" s="10"/>
      <c r="Q30" s="10"/>
      <c r="R30" s="10"/>
      <c r="S30" s="10"/>
      <c r="T30" s="10"/>
    </row>
    <row r="31" spans="1:20" ht="33.75" x14ac:dyDescent="0.2">
      <c r="A31" s="16" t="s">
        <v>41</v>
      </c>
      <c r="B31" s="41"/>
      <c r="C31" s="2"/>
      <c r="D31" s="29">
        <v>141758475</v>
      </c>
      <c r="E31" s="41"/>
      <c r="F31" s="10"/>
      <c r="G31" s="10"/>
      <c r="H31" s="10"/>
      <c r="I31" s="10"/>
      <c r="J31" s="10"/>
      <c r="K31" s="10"/>
      <c r="L31" s="10"/>
      <c r="M31" s="10"/>
      <c r="N31" s="10"/>
      <c r="O31" s="10"/>
      <c r="P31" s="10"/>
      <c r="Q31" s="10"/>
      <c r="R31" s="10"/>
      <c r="S31" s="10"/>
      <c r="T31" s="10"/>
    </row>
    <row r="32" spans="1:20" x14ac:dyDescent="0.2">
      <c r="A32" s="16" t="s">
        <v>42</v>
      </c>
      <c r="B32" s="41"/>
      <c r="C32" s="2"/>
      <c r="D32" s="29">
        <v>75000000</v>
      </c>
      <c r="E32" s="41"/>
      <c r="F32" s="10"/>
      <c r="G32" s="10"/>
      <c r="H32" s="10"/>
      <c r="I32" s="10"/>
      <c r="J32" s="10"/>
      <c r="K32" s="10"/>
      <c r="L32" s="10"/>
      <c r="M32" s="10"/>
      <c r="N32" s="10"/>
      <c r="O32" s="10"/>
      <c r="P32" s="10"/>
      <c r="Q32" s="10"/>
      <c r="R32" s="10"/>
      <c r="S32" s="10"/>
      <c r="T32" s="10"/>
    </row>
    <row r="33" spans="1:20" ht="33.75" x14ac:dyDescent="0.2">
      <c r="A33" s="15" t="s">
        <v>43</v>
      </c>
      <c r="B33" s="41"/>
      <c r="C33" s="2"/>
      <c r="D33" s="28">
        <f>SUM(D34:D35)</f>
        <v>2117275425</v>
      </c>
      <c r="E33" s="41"/>
      <c r="F33" s="10"/>
      <c r="G33" s="10"/>
      <c r="H33" s="10"/>
      <c r="I33" s="10"/>
      <c r="J33" s="10"/>
      <c r="K33" s="10"/>
      <c r="L33" s="10"/>
      <c r="M33" s="10"/>
      <c r="N33" s="10"/>
      <c r="O33" s="10"/>
      <c r="P33" s="10"/>
      <c r="Q33" s="10"/>
      <c r="R33" s="10"/>
      <c r="S33" s="10"/>
      <c r="T33" s="10"/>
    </row>
    <row r="34" spans="1:20" ht="45" x14ac:dyDescent="0.2">
      <c r="A34" s="16" t="s">
        <v>44</v>
      </c>
      <c r="B34" s="41"/>
      <c r="C34" s="2"/>
      <c r="D34" s="29">
        <v>352879237</v>
      </c>
      <c r="E34" s="41"/>
      <c r="F34" s="10"/>
      <c r="G34" s="10"/>
      <c r="H34" s="10"/>
      <c r="I34" s="10"/>
      <c r="J34" s="10"/>
      <c r="K34" s="10"/>
      <c r="L34" s="10"/>
      <c r="M34" s="10"/>
      <c r="N34" s="10"/>
      <c r="O34" s="10"/>
      <c r="P34" s="10"/>
      <c r="Q34" s="10"/>
      <c r="R34" s="10"/>
      <c r="S34" s="10"/>
      <c r="T34" s="10"/>
    </row>
    <row r="35" spans="1:20" ht="56.25" x14ac:dyDescent="0.2">
      <c r="A35" s="16" t="s">
        <v>45</v>
      </c>
      <c r="B35" s="41"/>
      <c r="C35" s="2"/>
      <c r="D35" s="29">
        <v>1764396188</v>
      </c>
      <c r="E35" s="41"/>
      <c r="F35" s="10"/>
      <c r="G35" s="10"/>
      <c r="H35" s="10"/>
      <c r="I35" s="10"/>
      <c r="J35" s="10"/>
      <c r="K35" s="10"/>
      <c r="L35" s="10"/>
      <c r="M35" s="10"/>
      <c r="N35" s="10"/>
      <c r="O35" s="10"/>
      <c r="P35" s="10"/>
      <c r="Q35" s="10"/>
      <c r="R35" s="10"/>
      <c r="S35" s="10"/>
      <c r="T35" s="10"/>
    </row>
    <row r="36" spans="1:20" ht="22.5" x14ac:dyDescent="0.2">
      <c r="A36" s="15" t="s">
        <v>46</v>
      </c>
      <c r="B36" s="41"/>
      <c r="C36" s="2"/>
      <c r="D36" s="28">
        <f>SUM(D37:D39)</f>
        <v>352879237</v>
      </c>
      <c r="E36" s="41"/>
      <c r="F36" s="10"/>
      <c r="G36" s="10"/>
      <c r="H36" s="10"/>
      <c r="I36" s="10"/>
      <c r="J36" s="10"/>
      <c r="K36" s="10"/>
      <c r="L36" s="10"/>
      <c r="M36" s="10"/>
      <c r="N36" s="10"/>
      <c r="O36" s="10"/>
      <c r="P36" s="10"/>
      <c r="Q36" s="10"/>
      <c r="R36" s="10"/>
      <c r="S36" s="10"/>
      <c r="T36" s="10"/>
    </row>
    <row r="37" spans="1:20" x14ac:dyDescent="0.2">
      <c r="A37" s="16" t="s">
        <v>47</v>
      </c>
      <c r="B37" s="41"/>
      <c r="C37" s="2"/>
      <c r="D37" s="29">
        <v>140379237</v>
      </c>
      <c r="E37" s="41"/>
      <c r="F37" s="10"/>
      <c r="G37" s="10"/>
      <c r="H37" s="10"/>
      <c r="I37" s="10"/>
      <c r="J37" s="10"/>
      <c r="K37" s="10"/>
      <c r="L37" s="10"/>
      <c r="M37" s="10"/>
      <c r="N37" s="10"/>
      <c r="O37" s="10"/>
      <c r="P37" s="10"/>
      <c r="Q37" s="10"/>
      <c r="R37" s="10"/>
      <c r="S37" s="10"/>
      <c r="T37" s="10"/>
    </row>
    <row r="38" spans="1:20" x14ac:dyDescent="0.2">
      <c r="A38" s="16" t="s">
        <v>48</v>
      </c>
      <c r="B38" s="41"/>
      <c r="C38" s="41"/>
      <c r="D38" s="29">
        <v>172500000</v>
      </c>
      <c r="E38" s="2"/>
      <c r="F38" s="2"/>
      <c r="G38" s="2"/>
      <c r="H38" s="2"/>
      <c r="I38" s="2"/>
      <c r="J38" s="2"/>
      <c r="K38" s="2"/>
      <c r="L38" s="2"/>
      <c r="M38" s="2"/>
      <c r="N38" s="2"/>
      <c r="O38" s="2"/>
      <c r="P38" s="2"/>
      <c r="Q38" s="2"/>
      <c r="R38" s="2"/>
      <c r="S38" s="2"/>
      <c r="T38" s="2"/>
    </row>
    <row r="39" spans="1:20" ht="22.5" x14ac:dyDescent="0.2">
      <c r="A39" s="16" t="s">
        <v>49</v>
      </c>
      <c r="B39" s="41"/>
      <c r="C39" s="24"/>
      <c r="D39" s="29">
        <v>40000000</v>
      </c>
      <c r="E39" s="2"/>
      <c r="F39" s="2"/>
      <c r="G39" s="2"/>
      <c r="H39" s="2"/>
      <c r="I39" s="2"/>
      <c r="J39" s="2"/>
      <c r="K39" s="2"/>
      <c r="L39" s="2"/>
      <c r="M39" s="2"/>
      <c r="N39" s="2"/>
      <c r="O39" s="2"/>
      <c r="P39" s="2"/>
      <c r="Q39" s="2"/>
      <c r="R39" s="2"/>
      <c r="S39" s="2"/>
      <c r="T39" s="2"/>
    </row>
    <row r="40" spans="1:20" s="11" customFormat="1" ht="45" x14ac:dyDescent="0.2">
      <c r="A40" s="15" t="s">
        <v>50</v>
      </c>
      <c r="B40" s="41"/>
      <c r="C40" s="26"/>
      <c r="D40" s="28">
        <f>+D41</f>
        <v>208621494</v>
      </c>
      <c r="E40" s="25"/>
      <c r="F40" s="25"/>
      <c r="G40" s="25"/>
      <c r="H40" s="25"/>
      <c r="I40" s="25"/>
      <c r="J40" s="25"/>
      <c r="K40" s="25"/>
      <c r="L40" s="25"/>
      <c r="M40" s="25"/>
      <c r="N40" s="25"/>
      <c r="O40" s="25"/>
      <c r="P40" s="25"/>
      <c r="Q40" s="25"/>
      <c r="R40" s="25"/>
      <c r="S40" s="25"/>
      <c r="T40" s="25"/>
    </row>
    <row r="41" spans="1:20" s="11" customFormat="1" ht="22.5" x14ac:dyDescent="0.2">
      <c r="A41" s="16" t="s">
        <v>51</v>
      </c>
      <c r="B41" s="41"/>
      <c r="C41" s="26"/>
      <c r="D41" s="29">
        <v>208621494</v>
      </c>
      <c r="E41" s="25"/>
      <c r="F41" s="25"/>
      <c r="G41" s="25"/>
      <c r="H41" s="25"/>
      <c r="I41" s="25"/>
      <c r="J41" s="25"/>
      <c r="K41" s="25"/>
      <c r="L41" s="25"/>
      <c r="M41" s="25"/>
      <c r="N41" s="25"/>
      <c r="O41" s="25"/>
      <c r="P41" s="25"/>
      <c r="Q41" s="25"/>
      <c r="R41" s="25"/>
      <c r="S41" s="25"/>
      <c r="T41" s="25"/>
    </row>
    <row r="42" spans="1:20" ht="56.25" x14ac:dyDescent="0.2">
      <c r="A42" s="15" t="s">
        <v>52</v>
      </c>
      <c r="B42" s="41"/>
      <c r="C42" s="41"/>
      <c r="D42" s="28">
        <f>+D43</f>
        <v>223237643</v>
      </c>
      <c r="E42" s="2"/>
      <c r="F42" s="2"/>
      <c r="G42" s="2"/>
      <c r="H42" s="2"/>
      <c r="I42" s="2"/>
      <c r="J42" s="2"/>
      <c r="K42" s="2"/>
      <c r="L42" s="2"/>
      <c r="M42" s="2"/>
      <c r="N42" s="2"/>
      <c r="O42" s="2"/>
      <c r="P42" s="2"/>
      <c r="Q42" s="2"/>
      <c r="R42" s="2"/>
      <c r="S42" s="2"/>
      <c r="T42" s="2"/>
    </row>
    <row r="43" spans="1:20" ht="22.5" x14ac:dyDescent="0.2">
      <c r="A43" s="16" t="s">
        <v>53</v>
      </c>
      <c r="B43" s="41"/>
      <c r="C43" s="41"/>
      <c r="D43" s="29">
        <v>223237643</v>
      </c>
      <c r="E43" s="2"/>
      <c r="F43" s="2"/>
      <c r="G43" s="2"/>
      <c r="H43" s="2"/>
      <c r="I43" s="2"/>
      <c r="J43" s="2"/>
      <c r="K43" s="2"/>
      <c r="L43" s="2"/>
      <c r="M43" s="2"/>
      <c r="N43" s="2"/>
      <c r="O43" s="2"/>
      <c r="P43" s="2"/>
      <c r="Q43" s="2"/>
      <c r="R43" s="2"/>
      <c r="S43" s="2"/>
      <c r="T43" s="2"/>
    </row>
    <row r="44" spans="1:20" ht="25.5" x14ac:dyDescent="0.2">
      <c r="A44" s="14" t="s">
        <v>54</v>
      </c>
      <c r="B44" s="5"/>
      <c r="C44" s="41"/>
      <c r="D44" s="27">
        <f>+D45+D50+D53</f>
        <v>2722000000</v>
      </c>
      <c r="E44" s="2"/>
      <c r="F44" s="2"/>
      <c r="G44" s="2"/>
      <c r="H44" s="2"/>
      <c r="I44" s="2"/>
      <c r="J44" s="2"/>
      <c r="K44" s="2"/>
      <c r="L44" s="2"/>
      <c r="M44" s="2"/>
      <c r="N44" s="2"/>
      <c r="O44" s="2"/>
      <c r="P44" s="2"/>
      <c r="Q44" s="2"/>
      <c r="R44" s="2"/>
      <c r="S44" s="2"/>
      <c r="T44" s="2"/>
    </row>
    <row r="45" spans="1:20" ht="22.5" x14ac:dyDescent="0.2">
      <c r="A45" s="19" t="s">
        <v>55</v>
      </c>
      <c r="B45" s="24"/>
      <c r="C45" s="24"/>
      <c r="D45" s="31">
        <f>SUM(D46:D49)</f>
        <v>812000000</v>
      </c>
      <c r="E45" s="2"/>
      <c r="F45" s="2"/>
      <c r="G45" s="2"/>
      <c r="H45" s="2"/>
      <c r="I45" s="2"/>
      <c r="J45" s="2"/>
      <c r="K45" s="2"/>
      <c r="L45" s="2"/>
      <c r="M45" s="2"/>
      <c r="N45" s="2"/>
      <c r="O45" s="2"/>
      <c r="P45" s="2"/>
      <c r="Q45" s="2"/>
      <c r="R45" s="2"/>
      <c r="S45" s="2"/>
      <c r="T45" s="2"/>
    </row>
    <row r="46" spans="1:20" ht="33.75" x14ac:dyDescent="0.2">
      <c r="A46" s="16" t="s">
        <v>56</v>
      </c>
      <c r="B46" s="41"/>
      <c r="C46" s="41"/>
      <c r="D46" s="29">
        <v>130000000</v>
      </c>
      <c r="E46" s="2"/>
      <c r="F46" s="2"/>
      <c r="G46" s="2"/>
      <c r="H46" s="2"/>
      <c r="I46" s="2"/>
      <c r="J46" s="2"/>
      <c r="K46" s="2"/>
      <c r="L46" s="2"/>
      <c r="M46" s="2"/>
      <c r="N46" s="2"/>
      <c r="O46" s="2"/>
      <c r="P46" s="2"/>
      <c r="Q46" s="2"/>
      <c r="R46" s="2"/>
      <c r="S46" s="2"/>
      <c r="T46" s="2"/>
    </row>
    <row r="47" spans="1:20" ht="45" x14ac:dyDescent="0.2">
      <c r="A47" s="20" t="s">
        <v>57</v>
      </c>
      <c r="B47" s="34"/>
      <c r="C47" s="24"/>
      <c r="D47" s="29">
        <v>70000000</v>
      </c>
      <c r="E47" s="2"/>
      <c r="F47" s="2"/>
      <c r="G47" s="2"/>
      <c r="H47" s="2"/>
      <c r="I47" s="2"/>
      <c r="J47" s="2"/>
      <c r="K47" s="2"/>
      <c r="L47" s="2"/>
      <c r="M47" s="2"/>
      <c r="N47" s="2"/>
      <c r="O47" s="2"/>
      <c r="P47" s="2"/>
      <c r="Q47" s="2"/>
      <c r="R47" s="2"/>
      <c r="S47" s="2"/>
      <c r="T47" s="2"/>
    </row>
    <row r="48" spans="1:20" ht="33.75" x14ac:dyDescent="0.2">
      <c r="A48" s="21" t="s">
        <v>58</v>
      </c>
      <c r="B48" s="35"/>
      <c r="C48" s="41"/>
      <c r="D48" s="29">
        <v>300000000</v>
      </c>
      <c r="E48" s="2"/>
      <c r="F48" s="2"/>
      <c r="G48" s="2"/>
      <c r="H48" s="2"/>
      <c r="I48" s="2"/>
      <c r="J48" s="2"/>
      <c r="K48" s="2"/>
      <c r="L48" s="2"/>
      <c r="M48" s="2"/>
      <c r="N48" s="2"/>
      <c r="O48" s="2"/>
      <c r="P48" s="2"/>
      <c r="Q48" s="2"/>
      <c r="R48" s="2"/>
      <c r="S48" s="2"/>
      <c r="T48" s="2"/>
    </row>
    <row r="49" spans="1:20" ht="33.75" x14ac:dyDescent="0.2">
      <c r="A49" s="21" t="s">
        <v>59</v>
      </c>
      <c r="B49" s="35"/>
      <c r="C49" s="41"/>
      <c r="D49" s="29">
        <v>312000000</v>
      </c>
      <c r="E49" s="2"/>
      <c r="F49" s="2"/>
      <c r="G49" s="2"/>
      <c r="H49" s="2"/>
      <c r="I49" s="2"/>
      <c r="J49" s="2"/>
      <c r="K49" s="2"/>
      <c r="L49" s="2"/>
      <c r="M49" s="2"/>
      <c r="N49" s="2"/>
      <c r="O49" s="2"/>
      <c r="P49" s="2"/>
      <c r="Q49" s="2"/>
      <c r="R49" s="2"/>
      <c r="S49" s="2"/>
      <c r="T49" s="2"/>
    </row>
    <row r="50" spans="1:20" ht="22.5" x14ac:dyDescent="0.2">
      <c r="A50" s="19" t="s">
        <v>60</v>
      </c>
      <c r="B50" s="24"/>
      <c r="C50" s="24"/>
      <c r="D50" s="31">
        <f>SUM(D51:D52)</f>
        <v>890000000</v>
      </c>
      <c r="E50" s="2"/>
      <c r="F50" s="2"/>
      <c r="G50" s="2"/>
      <c r="H50" s="2"/>
      <c r="I50" s="2"/>
      <c r="J50" s="2"/>
      <c r="K50" s="2"/>
      <c r="L50" s="2"/>
      <c r="M50" s="2"/>
      <c r="N50" s="2"/>
      <c r="O50" s="2"/>
      <c r="P50" s="2"/>
      <c r="Q50" s="2"/>
      <c r="R50" s="2"/>
      <c r="S50" s="2"/>
      <c r="T50" s="2"/>
    </row>
    <row r="51" spans="1:20" ht="33.75" x14ac:dyDescent="0.2">
      <c r="A51" s="16" t="s">
        <v>61</v>
      </c>
      <c r="B51" s="41"/>
      <c r="C51" s="41"/>
      <c r="D51" s="29">
        <v>750000000</v>
      </c>
      <c r="E51" s="2"/>
      <c r="F51" s="2"/>
      <c r="G51" s="2"/>
      <c r="H51" s="2"/>
      <c r="I51" s="2"/>
      <c r="J51" s="2"/>
      <c r="K51" s="2"/>
      <c r="L51" s="2"/>
      <c r="M51" s="2"/>
      <c r="N51" s="2"/>
      <c r="O51" s="2"/>
      <c r="P51" s="2"/>
      <c r="Q51" s="2"/>
      <c r="R51" s="2"/>
      <c r="S51" s="2"/>
      <c r="T51" s="2"/>
    </row>
    <row r="52" spans="1:20" ht="45" x14ac:dyDescent="0.2">
      <c r="A52" s="16" t="s">
        <v>62</v>
      </c>
      <c r="B52" s="41"/>
      <c r="C52" s="41"/>
      <c r="D52" s="29">
        <v>140000000</v>
      </c>
      <c r="E52" s="2"/>
      <c r="F52" s="2"/>
      <c r="G52" s="2"/>
      <c r="H52" s="2"/>
      <c r="I52" s="2"/>
      <c r="J52" s="2"/>
      <c r="K52" s="2"/>
      <c r="L52" s="2"/>
      <c r="M52" s="2"/>
      <c r="N52" s="2"/>
      <c r="O52" s="2"/>
      <c r="P52" s="2"/>
      <c r="Q52" s="2"/>
      <c r="R52" s="2"/>
      <c r="S52" s="2"/>
      <c r="T52" s="2"/>
    </row>
    <row r="53" spans="1:20" ht="22.5" x14ac:dyDescent="0.2">
      <c r="A53" s="19" t="s">
        <v>63</v>
      </c>
      <c r="B53" s="24"/>
      <c r="C53" s="24"/>
      <c r="D53" s="31">
        <f>SUM(D54:D61)</f>
        <v>1020000000</v>
      </c>
      <c r="E53" s="2"/>
      <c r="F53" s="2"/>
      <c r="G53" s="2"/>
      <c r="H53" s="2"/>
      <c r="I53" s="2"/>
      <c r="J53" s="2"/>
      <c r="K53" s="2"/>
      <c r="L53" s="2"/>
      <c r="M53" s="2"/>
      <c r="N53" s="2"/>
      <c r="O53" s="2"/>
      <c r="P53" s="2"/>
      <c r="Q53" s="2"/>
      <c r="R53" s="2"/>
      <c r="S53" s="2"/>
      <c r="T53" s="2"/>
    </row>
    <row r="54" spans="1:20" ht="45" x14ac:dyDescent="0.2">
      <c r="A54" s="16" t="s">
        <v>64</v>
      </c>
      <c r="B54" s="41"/>
      <c r="C54" s="41"/>
      <c r="D54" s="29">
        <v>120000000</v>
      </c>
      <c r="E54" s="2"/>
      <c r="F54" s="2"/>
      <c r="G54" s="2"/>
      <c r="H54" s="2"/>
      <c r="I54" s="2"/>
      <c r="J54" s="2"/>
      <c r="K54" s="2"/>
      <c r="L54" s="2"/>
      <c r="M54" s="2"/>
      <c r="N54" s="2"/>
      <c r="O54" s="2"/>
      <c r="P54" s="2"/>
      <c r="Q54" s="2"/>
      <c r="R54" s="2"/>
      <c r="S54" s="2"/>
      <c r="T54" s="2"/>
    </row>
    <row r="55" spans="1:20" ht="33.75" x14ac:dyDescent="0.2">
      <c r="A55" s="21" t="s">
        <v>65</v>
      </c>
      <c r="B55" s="35"/>
      <c r="C55" s="24"/>
      <c r="D55" s="29">
        <v>70000000</v>
      </c>
      <c r="E55" s="2"/>
      <c r="F55" s="2"/>
      <c r="G55" s="2"/>
      <c r="H55" s="2"/>
      <c r="I55" s="2"/>
      <c r="J55" s="2"/>
      <c r="K55" s="2"/>
      <c r="L55" s="2"/>
      <c r="M55" s="2"/>
      <c r="N55" s="2"/>
      <c r="O55" s="2"/>
      <c r="P55" s="2"/>
      <c r="Q55" s="2"/>
      <c r="R55" s="2"/>
      <c r="S55" s="2"/>
      <c r="T55" s="2"/>
    </row>
    <row r="56" spans="1:20" ht="67.5" x14ac:dyDescent="0.2">
      <c r="A56" s="21" t="s">
        <v>66</v>
      </c>
      <c r="B56" s="35"/>
      <c r="C56" s="41"/>
      <c r="D56" s="29">
        <v>130000000</v>
      </c>
      <c r="E56" s="2"/>
      <c r="F56" s="2"/>
      <c r="G56" s="2"/>
      <c r="H56" s="2"/>
      <c r="I56" s="2"/>
      <c r="J56" s="2"/>
      <c r="K56" s="2"/>
      <c r="L56" s="2"/>
      <c r="M56" s="2"/>
      <c r="N56" s="2"/>
      <c r="O56" s="2"/>
      <c r="P56" s="2"/>
      <c r="Q56" s="2"/>
      <c r="R56" s="2"/>
      <c r="S56" s="2"/>
      <c r="T56" s="2"/>
    </row>
    <row r="57" spans="1:20" ht="22.5" x14ac:dyDescent="0.2">
      <c r="A57" s="21" t="s">
        <v>67</v>
      </c>
      <c r="B57" s="35"/>
      <c r="C57" s="41"/>
      <c r="D57" s="29">
        <v>250000000</v>
      </c>
      <c r="E57" s="2"/>
      <c r="F57" s="2"/>
      <c r="G57" s="2"/>
      <c r="H57" s="2"/>
      <c r="I57" s="2"/>
      <c r="J57" s="2"/>
      <c r="K57" s="2"/>
      <c r="L57" s="2"/>
      <c r="M57" s="2"/>
      <c r="N57" s="2"/>
      <c r="O57" s="2"/>
      <c r="P57" s="2"/>
      <c r="Q57" s="2"/>
      <c r="R57" s="2"/>
      <c r="S57" s="2"/>
      <c r="T57" s="2"/>
    </row>
    <row r="58" spans="1:20" ht="22.5" x14ac:dyDescent="0.2">
      <c r="A58" s="21" t="s">
        <v>68</v>
      </c>
      <c r="B58" s="35"/>
      <c r="C58" s="24"/>
      <c r="D58" s="29">
        <v>300000000</v>
      </c>
      <c r="E58" s="2"/>
      <c r="F58" s="2"/>
      <c r="G58" s="2"/>
      <c r="H58" s="2"/>
      <c r="I58" s="2"/>
      <c r="J58" s="2"/>
      <c r="K58" s="2"/>
      <c r="L58" s="2"/>
      <c r="M58" s="2"/>
      <c r="N58" s="2"/>
      <c r="O58" s="2"/>
      <c r="P58" s="2"/>
      <c r="Q58" s="2"/>
      <c r="R58" s="2"/>
      <c r="S58" s="2"/>
      <c r="T58" s="2"/>
    </row>
    <row r="59" spans="1:20" x14ac:dyDescent="0.2">
      <c r="A59" s="21" t="s">
        <v>69</v>
      </c>
      <c r="B59" s="35"/>
      <c r="C59" s="41"/>
      <c r="D59" s="29">
        <v>40000000</v>
      </c>
      <c r="E59" s="2"/>
      <c r="F59" s="2"/>
      <c r="G59" s="2"/>
      <c r="H59" s="2"/>
      <c r="I59" s="2"/>
      <c r="J59" s="2"/>
      <c r="K59" s="2"/>
      <c r="L59" s="2"/>
      <c r="M59" s="2"/>
      <c r="N59" s="2"/>
      <c r="O59" s="2"/>
      <c r="P59" s="2"/>
      <c r="Q59" s="2"/>
      <c r="R59" s="2"/>
      <c r="S59" s="2"/>
      <c r="T59" s="2"/>
    </row>
    <row r="60" spans="1:20" ht="22.5" x14ac:dyDescent="0.2">
      <c r="A60" s="21" t="s">
        <v>70</v>
      </c>
      <c r="B60" s="35"/>
      <c r="C60" s="43"/>
      <c r="D60" s="29">
        <v>40000000</v>
      </c>
      <c r="E60" s="2"/>
      <c r="F60" s="2"/>
      <c r="G60" s="2"/>
      <c r="H60" s="2"/>
      <c r="I60" s="2"/>
      <c r="J60" s="2"/>
      <c r="K60" s="2"/>
      <c r="L60" s="2"/>
      <c r="M60" s="2"/>
      <c r="N60" s="2"/>
      <c r="O60" s="2"/>
      <c r="P60" s="2"/>
      <c r="Q60" s="2"/>
      <c r="R60" s="2"/>
      <c r="S60" s="2"/>
      <c r="T60" s="2"/>
    </row>
    <row r="61" spans="1:20" ht="33.75" x14ac:dyDescent="0.2">
      <c r="A61" s="21" t="s">
        <v>71</v>
      </c>
      <c r="B61" s="35"/>
      <c r="C61" s="43"/>
      <c r="D61" s="29">
        <v>70000000</v>
      </c>
      <c r="E61" s="2"/>
      <c r="F61" s="2"/>
      <c r="G61" s="2"/>
      <c r="H61" s="2"/>
      <c r="I61" s="2"/>
      <c r="J61" s="2"/>
      <c r="K61" s="2"/>
      <c r="L61" s="2"/>
      <c r="M61" s="2"/>
      <c r="N61" s="2"/>
      <c r="O61" s="2"/>
      <c r="P61" s="2"/>
      <c r="Q61" s="2"/>
      <c r="R61" s="2"/>
      <c r="S61" s="2"/>
      <c r="T61" s="2"/>
    </row>
    <row r="62" spans="1:20" ht="25.5" x14ac:dyDescent="0.2">
      <c r="A62" s="14" t="s">
        <v>72</v>
      </c>
      <c r="B62" s="5"/>
      <c r="C62" s="43"/>
      <c r="D62" s="27">
        <f>+D63</f>
        <v>150000000</v>
      </c>
      <c r="E62" s="2"/>
      <c r="F62" s="2"/>
      <c r="G62" s="2"/>
      <c r="H62" s="2"/>
      <c r="I62" s="2"/>
      <c r="J62" s="2"/>
      <c r="K62" s="2"/>
      <c r="L62" s="2"/>
      <c r="M62" s="2"/>
      <c r="N62" s="2"/>
      <c r="O62" s="2"/>
      <c r="P62" s="2"/>
      <c r="Q62" s="2"/>
      <c r="R62" s="2"/>
      <c r="S62" s="2"/>
      <c r="T62" s="2"/>
    </row>
    <row r="63" spans="1:20" ht="22.5" x14ac:dyDescent="0.2">
      <c r="A63" s="17" t="s">
        <v>73</v>
      </c>
      <c r="B63" s="42"/>
      <c r="C63" s="43"/>
      <c r="D63" s="28">
        <f>SUM(D64:D65)</f>
        <v>150000000</v>
      </c>
      <c r="E63" s="2"/>
      <c r="F63" s="2"/>
      <c r="G63" s="2"/>
      <c r="H63" s="2"/>
      <c r="I63" s="2"/>
      <c r="J63" s="2"/>
      <c r="K63" s="2"/>
      <c r="L63" s="2"/>
      <c r="M63" s="2"/>
      <c r="N63" s="2"/>
      <c r="O63" s="2"/>
      <c r="P63" s="2"/>
      <c r="Q63" s="2"/>
      <c r="R63" s="2"/>
      <c r="S63" s="2"/>
      <c r="T63" s="2"/>
    </row>
    <row r="64" spans="1:20" ht="22.5" x14ac:dyDescent="0.2">
      <c r="A64" s="20" t="s">
        <v>74</v>
      </c>
      <c r="B64" s="34"/>
      <c r="C64" s="43"/>
      <c r="D64" s="29">
        <v>80000000</v>
      </c>
      <c r="E64" s="2"/>
      <c r="F64" s="2"/>
      <c r="G64" s="2"/>
      <c r="H64" s="2"/>
      <c r="I64" s="2"/>
      <c r="J64" s="2"/>
      <c r="K64" s="2"/>
      <c r="L64" s="2"/>
      <c r="M64" s="2"/>
      <c r="N64" s="2"/>
      <c r="O64" s="2"/>
      <c r="P64" s="2"/>
      <c r="Q64" s="2"/>
      <c r="R64" s="2"/>
      <c r="S64" s="2"/>
      <c r="T64" s="2"/>
    </row>
    <row r="65" spans="1:20" ht="33.75" x14ac:dyDescent="0.2">
      <c r="A65" s="20" t="s">
        <v>75</v>
      </c>
      <c r="B65" s="34"/>
      <c r="C65" s="43"/>
      <c r="D65" s="29">
        <v>70000000</v>
      </c>
      <c r="E65" s="2"/>
      <c r="F65" s="2"/>
      <c r="G65" s="2"/>
      <c r="H65" s="2"/>
      <c r="I65" s="2"/>
      <c r="J65" s="2"/>
      <c r="K65" s="2"/>
      <c r="L65" s="2"/>
      <c r="M65" s="2"/>
      <c r="N65" s="2"/>
      <c r="O65" s="2"/>
      <c r="P65" s="2"/>
      <c r="Q65" s="2"/>
      <c r="R65" s="2"/>
      <c r="S65" s="2"/>
      <c r="T65" s="2"/>
    </row>
    <row r="66" spans="1:20" ht="25.5" x14ac:dyDescent="0.2">
      <c r="A66" s="14" t="s">
        <v>76</v>
      </c>
      <c r="B66" s="5"/>
      <c r="C66" s="43"/>
      <c r="D66" s="27">
        <f>+D67+D72+D76</f>
        <v>300000000</v>
      </c>
      <c r="E66" s="2"/>
      <c r="F66" s="2"/>
      <c r="G66" s="2"/>
      <c r="H66" s="2"/>
      <c r="I66" s="2"/>
      <c r="J66" s="2"/>
      <c r="K66" s="2"/>
      <c r="L66" s="2"/>
      <c r="M66" s="2"/>
      <c r="N66" s="2"/>
      <c r="O66" s="2"/>
      <c r="P66" s="2"/>
      <c r="Q66" s="2"/>
      <c r="R66" s="2"/>
      <c r="S66" s="2"/>
      <c r="T66" s="2"/>
    </row>
    <row r="67" spans="1:20" x14ac:dyDescent="0.2">
      <c r="A67" s="17" t="s">
        <v>77</v>
      </c>
      <c r="B67" s="42"/>
      <c r="C67" s="43"/>
      <c r="D67" s="28">
        <f>SUM(D68:D71)</f>
        <v>80000000</v>
      </c>
      <c r="E67" s="2"/>
      <c r="F67" s="2"/>
      <c r="G67" s="2"/>
      <c r="H67" s="2"/>
      <c r="I67" s="2"/>
      <c r="J67" s="2"/>
      <c r="K67" s="2"/>
      <c r="L67" s="2"/>
      <c r="M67" s="2"/>
      <c r="N67" s="2"/>
      <c r="O67" s="2"/>
      <c r="P67" s="2"/>
      <c r="Q67" s="2"/>
      <c r="R67" s="2"/>
      <c r="S67" s="2"/>
      <c r="T67" s="2"/>
    </row>
    <row r="68" spans="1:20" ht="22.5" x14ac:dyDescent="0.2">
      <c r="A68" s="16" t="s">
        <v>78</v>
      </c>
      <c r="B68" s="41"/>
      <c r="C68" s="43"/>
      <c r="D68" s="1868">
        <v>80000000</v>
      </c>
      <c r="E68" s="2"/>
      <c r="F68" s="2"/>
      <c r="G68" s="2"/>
      <c r="H68" s="2"/>
      <c r="I68" s="2"/>
      <c r="J68" s="2"/>
      <c r="K68" s="2"/>
      <c r="L68" s="2"/>
      <c r="M68" s="2"/>
      <c r="N68" s="2"/>
      <c r="O68" s="2"/>
      <c r="P68" s="2"/>
      <c r="Q68" s="2"/>
      <c r="R68" s="2"/>
      <c r="S68" s="2"/>
      <c r="T68" s="2"/>
    </row>
    <row r="69" spans="1:20" ht="22.5" x14ac:dyDescent="0.2">
      <c r="A69" s="16" t="s">
        <v>79</v>
      </c>
      <c r="B69" s="41"/>
      <c r="C69" s="43"/>
      <c r="D69" s="1868"/>
      <c r="E69" s="2"/>
      <c r="F69" s="2"/>
      <c r="G69" s="2"/>
      <c r="H69" s="2"/>
      <c r="I69" s="2"/>
      <c r="J69" s="2"/>
      <c r="K69" s="2"/>
      <c r="L69" s="2"/>
      <c r="M69" s="2"/>
      <c r="N69" s="2"/>
      <c r="O69" s="2"/>
      <c r="P69" s="2"/>
      <c r="Q69" s="2"/>
      <c r="R69" s="2"/>
      <c r="S69" s="2"/>
      <c r="T69" s="2"/>
    </row>
    <row r="70" spans="1:20" ht="33.75" x14ac:dyDescent="0.2">
      <c r="A70" s="16" t="s">
        <v>80</v>
      </c>
      <c r="B70" s="41"/>
      <c r="C70" s="43"/>
      <c r="D70" s="1868"/>
      <c r="E70" s="2"/>
      <c r="F70" s="2"/>
      <c r="G70" s="2"/>
      <c r="H70" s="2"/>
      <c r="I70" s="2"/>
      <c r="J70" s="2"/>
      <c r="K70" s="2"/>
      <c r="L70" s="2"/>
      <c r="M70" s="2"/>
      <c r="N70" s="2"/>
      <c r="O70" s="2"/>
      <c r="P70" s="2"/>
      <c r="Q70" s="2"/>
      <c r="R70" s="2"/>
      <c r="S70" s="2"/>
      <c r="T70" s="2"/>
    </row>
    <row r="71" spans="1:20" ht="56.25" x14ac:dyDescent="0.2">
      <c r="A71" s="16" t="s">
        <v>81</v>
      </c>
      <c r="B71" s="41"/>
      <c r="C71" s="43"/>
      <c r="D71" s="1868"/>
      <c r="E71" s="2"/>
      <c r="F71" s="2"/>
      <c r="G71" s="2"/>
      <c r="H71" s="2"/>
      <c r="I71" s="2"/>
      <c r="J71" s="2"/>
      <c r="K71" s="2"/>
      <c r="L71" s="2"/>
      <c r="M71" s="2"/>
      <c r="N71" s="2"/>
      <c r="O71" s="2"/>
      <c r="P71" s="2"/>
      <c r="Q71" s="2"/>
      <c r="R71" s="2"/>
      <c r="S71" s="2"/>
      <c r="T71" s="2"/>
    </row>
    <row r="72" spans="1:20" x14ac:dyDescent="0.2">
      <c r="A72" s="17" t="s">
        <v>82</v>
      </c>
      <c r="B72" s="42"/>
      <c r="C72" s="43"/>
      <c r="D72" s="28">
        <f>SUM(D73:D75)</f>
        <v>150000000</v>
      </c>
      <c r="E72" s="2"/>
      <c r="F72" s="2"/>
      <c r="G72" s="2"/>
      <c r="H72" s="2"/>
      <c r="I72" s="2"/>
      <c r="J72" s="2"/>
      <c r="K72" s="2"/>
      <c r="L72" s="2"/>
      <c r="M72" s="2"/>
      <c r="N72" s="2"/>
      <c r="O72" s="2"/>
      <c r="P72" s="2"/>
      <c r="Q72" s="2"/>
      <c r="R72" s="2"/>
      <c r="S72" s="2"/>
      <c r="T72" s="2"/>
    </row>
    <row r="73" spans="1:20" x14ac:dyDescent="0.2">
      <c r="A73" s="16" t="s">
        <v>83</v>
      </c>
      <c r="B73" s="41"/>
      <c r="C73" s="43"/>
      <c r="D73" s="1868">
        <v>150000000</v>
      </c>
      <c r="E73" s="2"/>
      <c r="F73" s="2"/>
      <c r="G73" s="2"/>
      <c r="H73" s="2"/>
      <c r="I73" s="2"/>
      <c r="J73" s="2"/>
      <c r="K73" s="2"/>
      <c r="L73" s="2"/>
      <c r="M73" s="2"/>
      <c r="N73" s="2"/>
      <c r="O73" s="2"/>
      <c r="P73" s="2"/>
      <c r="Q73" s="2"/>
      <c r="R73" s="2"/>
      <c r="S73" s="2"/>
      <c r="T73" s="2"/>
    </row>
    <row r="74" spans="1:20" ht="22.5" x14ac:dyDescent="0.2">
      <c r="A74" s="16" t="s">
        <v>84</v>
      </c>
      <c r="B74" s="41"/>
      <c r="C74" s="43"/>
      <c r="D74" s="1868"/>
      <c r="E74" s="2"/>
      <c r="F74" s="2"/>
      <c r="G74" s="2"/>
      <c r="H74" s="2"/>
      <c r="I74" s="2"/>
      <c r="J74" s="2"/>
      <c r="K74" s="2"/>
      <c r="L74" s="2"/>
      <c r="M74" s="2"/>
      <c r="N74" s="2"/>
      <c r="O74" s="2"/>
      <c r="P74" s="2"/>
      <c r="Q74" s="2"/>
      <c r="R74" s="2"/>
      <c r="S74" s="2"/>
      <c r="T74" s="2"/>
    </row>
    <row r="75" spans="1:20" ht="22.5" x14ac:dyDescent="0.2">
      <c r="A75" s="16" t="s">
        <v>85</v>
      </c>
      <c r="B75" s="41"/>
      <c r="C75" s="43"/>
      <c r="D75" s="1868"/>
      <c r="E75" s="2"/>
      <c r="F75" s="2"/>
      <c r="G75" s="2"/>
      <c r="H75" s="2"/>
      <c r="I75" s="2"/>
      <c r="J75" s="2"/>
      <c r="K75" s="2"/>
      <c r="L75" s="2"/>
      <c r="M75" s="2"/>
      <c r="N75" s="2"/>
      <c r="O75" s="2"/>
      <c r="P75" s="2"/>
      <c r="Q75" s="2"/>
      <c r="R75" s="2"/>
      <c r="S75" s="2"/>
      <c r="T75" s="2"/>
    </row>
    <row r="76" spans="1:20" ht="22.5" x14ac:dyDescent="0.2">
      <c r="A76" s="15" t="s">
        <v>86</v>
      </c>
      <c r="B76" s="41"/>
      <c r="C76" s="43"/>
      <c r="D76" s="28">
        <v>70000000</v>
      </c>
      <c r="E76" s="2"/>
      <c r="F76" s="2"/>
      <c r="G76" s="2"/>
      <c r="H76" s="2"/>
      <c r="I76" s="2"/>
      <c r="J76" s="2"/>
      <c r="K76" s="2"/>
      <c r="L76" s="2"/>
      <c r="M76" s="2"/>
      <c r="N76" s="2"/>
      <c r="O76" s="2"/>
      <c r="P76" s="2"/>
      <c r="Q76" s="2"/>
      <c r="R76" s="2"/>
      <c r="S76" s="2"/>
      <c r="T76" s="2"/>
    </row>
    <row r="77" spans="1:20" ht="25.5" x14ac:dyDescent="0.2">
      <c r="A77" s="14" t="s">
        <v>87</v>
      </c>
      <c r="B77" s="5"/>
      <c r="C77" s="43"/>
      <c r="D77" s="27">
        <f>+D78+D82</f>
        <v>260000000</v>
      </c>
      <c r="E77" s="2"/>
      <c r="F77" s="2"/>
      <c r="G77" s="2"/>
      <c r="H77" s="2"/>
      <c r="I77" s="2"/>
      <c r="J77" s="2"/>
      <c r="K77" s="2"/>
      <c r="L77" s="2"/>
      <c r="M77" s="2"/>
      <c r="N77" s="2"/>
      <c r="O77" s="2"/>
      <c r="P77" s="2"/>
      <c r="Q77" s="2"/>
      <c r="R77" s="2"/>
      <c r="S77" s="2"/>
      <c r="T77" s="2"/>
    </row>
    <row r="78" spans="1:20" ht="33.75" x14ac:dyDescent="0.2">
      <c r="A78" s="17" t="s">
        <v>88</v>
      </c>
      <c r="B78" s="42"/>
      <c r="C78" s="43"/>
      <c r="D78" s="28">
        <f>SUM(D79:D81)</f>
        <v>180000000</v>
      </c>
      <c r="E78" s="2"/>
      <c r="F78" s="2"/>
      <c r="G78" s="2"/>
      <c r="H78" s="2"/>
      <c r="I78" s="2"/>
      <c r="J78" s="2"/>
      <c r="K78" s="2"/>
      <c r="L78" s="2"/>
      <c r="M78" s="2"/>
      <c r="N78" s="2"/>
      <c r="O78" s="2"/>
      <c r="P78" s="2"/>
      <c r="Q78" s="2"/>
      <c r="R78" s="2"/>
      <c r="S78" s="2"/>
      <c r="T78" s="2"/>
    </row>
    <row r="79" spans="1:20" ht="22.5" x14ac:dyDescent="0.2">
      <c r="A79" s="22" t="s">
        <v>89</v>
      </c>
      <c r="B79" s="36"/>
      <c r="C79" s="43"/>
      <c r="D79" s="29">
        <v>60000000</v>
      </c>
      <c r="E79" s="2"/>
      <c r="F79" s="2"/>
      <c r="G79" s="2"/>
      <c r="H79" s="2"/>
      <c r="I79" s="2"/>
      <c r="J79" s="2"/>
      <c r="K79" s="2"/>
      <c r="L79" s="2"/>
      <c r="M79" s="2"/>
      <c r="N79" s="2"/>
      <c r="O79" s="2"/>
      <c r="P79" s="2"/>
      <c r="Q79" s="2"/>
      <c r="R79" s="2"/>
      <c r="S79" s="2"/>
      <c r="T79" s="2"/>
    </row>
    <row r="80" spans="1:20" ht="45" x14ac:dyDescent="0.2">
      <c r="A80" s="22" t="s">
        <v>90</v>
      </c>
      <c r="B80" s="36"/>
      <c r="C80" s="43"/>
      <c r="D80" s="29">
        <v>60000000</v>
      </c>
      <c r="E80" s="2"/>
      <c r="F80" s="2"/>
      <c r="G80" s="2"/>
      <c r="H80" s="2"/>
      <c r="I80" s="2"/>
      <c r="J80" s="2"/>
      <c r="K80" s="2"/>
      <c r="L80" s="2"/>
      <c r="M80" s="2"/>
      <c r="N80" s="2"/>
      <c r="O80" s="2"/>
      <c r="P80" s="2"/>
      <c r="Q80" s="2"/>
      <c r="R80" s="2"/>
      <c r="S80" s="2"/>
      <c r="T80" s="2"/>
    </row>
    <row r="81" spans="1:20" x14ac:dyDescent="0.2">
      <c r="A81" s="16" t="s">
        <v>91</v>
      </c>
      <c r="B81" s="41"/>
      <c r="C81" s="43"/>
      <c r="D81" s="29">
        <v>60000000</v>
      </c>
      <c r="E81" s="2"/>
      <c r="F81" s="2"/>
      <c r="G81" s="2"/>
      <c r="H81" s="2"/>
      <c r="I81" s="2"/>
      <c r="J81" s="2"/>
      <c r="K81" s="2"/>
      <c r="L81" s="2"/>
      <c r="M81" s="2"/>
      <c r="N81" s="2"/>
      <c r="O81" s="2"/>
      <c r="P81" s="2"/>
      <c r="Q81" s="2"/>
      <c r="R81" s="2"/>
      <c r="S81" s="2"/>
      <c r="T81" s="2"/>
    </row>
    <row r="82" spans="1:20" ht="22.5" x14ac:dyDescent="0.2">
      <c r="A82" s="17" t="s">
        <v>92</v>
      </c>
      <c r="B82" s="42"/>
      <c r="C82" s="43"/>
      <c r="D82" s="28">
        <f>SUM(D83)</f>
        <v>80000000</v>
      </c>
      <c r="E82" s="2"/>
      <c r="F82" s="2"/>
      <c r="G82" s="2"/>
      <c r="H82" s="2"/>
      <c r="I82" s="2"/>
      <c r="J82" s="2"/>
      <c r="K82" s="2"/>
      <c r="L82" s="2"/>
      <c r="M82" s="2"/>
      <c r="N82" s="2"/>
      <c r="O82" s="2"/>
      <c r="P82" s="2"/>
      <c r="Q82" s="2"/>
      <c r="R82" s="2"/>
      <c r="S82" s="2"/>
      <c r="T82" s="2"/>
    </row>
    <row r="83" spans="1:20" ht="33.75" x14ac:dyDescent="0.2">
      <c r="A83" s="16" t="s">
        <v>93</v>
      </c>
      <c r="B83" s="41"/>
      <c r="C83" s="43"/>
      <c r="D83" s="29">
        <v>80000000</v>
      </c>
      <c r="E83" s="2"/>
      <c r="F83" s="2"/>
      <c r="G83" s="2"/>
      <c r="H83" s="2"/>
      <c r="I83" s="2"/>
      <c r="J83" s="2"/>
      <c r="K83" s="2"/>
      <c r="L83" s="2"/>
      <c r="M83" s="2"/>
      <c r="N83" s="2"/>
      <c r="O83" s="2"/>
      <c r="P83" s="2"/>
      <c r="Q83" s="2"/>
      <c r="R83" s="2"/>
      <c r="S83" s="2"/>
      <c r="T83" s="2"/>
    </row>
    <row r="84" spans="1:20" ht="51" x14ac:dyDescent="0.2">
      <c r="A84" s="14" t="s">
        <v>94</v>
      </c>
      <c r="B84" s="5"/>
      <c r="C84" s="43"/>
      <c r="D84" s="27">
        <f>+D85</f>
        <v>516000000</v>
      </c>
      <c r="E84" s="2"/>
      <c r="F84" s="2"/>
      <c r="G84" s="2"/>
      <c r="H84" s="2"/>
      <c r="I84" s="2"/>
      <c r="J84" s="2"/>
      <c r="K84" s="2"/>
      <c r="L84" s="2"/>
      <c r="M84" s="2"/>
      <c r="N84" s="2"/>
      <c r="O84" s="2"/>
      <c r="P84" s="2"/>
      <c r="Q84" s="2"/>
      <c r="R84" s="2"/>
      <c r="S84" s="2"/>
      <c r="T84" s="2"/>
    </row>
    <row r="85" spans="1:20" ht="22.5" x14ac:dyDescent="0.2">
      <c r="A85" s="17" t="s">
        <v>95</v>
      </c>
      <c r="B85" s="42"/>
      <c r="C85" s="43"/>
      <c r="D85" s="28">
        <f>SUM(D86:D89)</f>
        <v>516000000</v>
      </c>
      <c r="E85" s="2"/>
      <c r="F85" s="2"/>
      <c r="G85" s="2"/>
      <c r="H85" s="2"/>
      <c r="I85" s="2"/>
      <c r="J85" s="2"/>
      <c r="K85" s="2"/>
      <c r="L85" s="2"/>
      <c r="M85" s="2"/>
      <c r="N85" s="2"/>
      <c r="O85" s="2"/>
      <c r="P85" s="2"/>
      <c r="Q85" s="2"/>
      <c r="R85" s="2"/>
      <c r="S85" s="2"/>
      <c r="T85" s="2"/>
    </row>
    <row r="86" spans="1:20" ht="22.5" x14ac:dyDescent="0.2">
      <c r="A86" s="41" t="s">
        <v>96</v>
      </c>
      <c r="B86" s="41"/>
      <c r="C86" s="43"/>
      <c r="D86" s="30">
        <v>204000000</v>
      </c>
      <c r="E86" s="2"/>
      <c r="F86" s="2"/>
      <c r="G86" s="2"/>
      <c r="H86" s="2"/>
      <c r="I86" s="2"/>
      <c r="J86" s="2"/>
      <c r="K86" s="2"/>
      <c r="L86" s="2"/>
      <c r="M86" s="2"/>
      <c r="N86" s="2"/>
      <c r="O86" s="2"/>
      <c r="P86" s="2"/>
      <c r="Q86" s="2"/>
      <c r="R86" s="2"/>
      <c r="S86" s="2"/>
      <c r="T86" s="2"/>
    </row>
    <row r="87" spans="1:20" x14ac:dyDescent="0.2">
      <c r="A87" s="41" t="s">
        <v>97</v>
      </c>
      <c r="B87" s="41"/>
      <c r="C87" s="43"/>
      <c r="D87" s="30">
        <v>77000000</v>
      </c>
      <c r="E87" s="2"/>
      <c r="F87" s="2"/>
      <c r="G87" s="2"/>
      <c r="H87" s="2"/>
      <c r="I87" s="2"/>
      <c r="J87" s="2"/>
      <c r="K87" s="2"/>
      <c r="L87" s="2"/>
      <c r="M87" s="2"/>
      <c r="N87" s="2"/>
      <c r="O87" s="2"/>
      <c r="P87" s="2"/>
      <c r="Q87" s="2"/>
      <c r="R87" s="2"/>
      <c r="S87" s="2"/>
      <c r="T87" s="2"/>
    </row>
    <row r="88" spans="1:20" x14ac:dyDescent="0.2">
      <c r="A88" s="41" t="s">
        <v>98</v>
      </c>
      <c r="B88" s="41"/>
      <c r="C88" s="43"/>
      <c r="D88" s="30">
        <v>195000000</v>
      </c>
      <c r="E88" s="2"/>
      <c r="F88" s="2"/>
      <c r="G88" s="2"/>
      <c r="H88" s="2"/>
      <c r="I88" s="2"/>
      <c r="J88" s="2"/>
      <c r="K88" s="2"/>
      <c r="L88" s="2"/>
      <c r="M88" s="2"/>
      <c r="N88" s="2"/>
      <c r="O88" s="2"/>
      <c r="P88" s="2"/>
      <c r="Q88" s="2"/>
      <c r="R88" s="2"/>
      <c r="S88" s="2"/>
      <c r="T88" s="2"/>
    </row>
    <row r="89" spans="1:20" ht="22.5" x14ac:dyDescent="0.2">
      <c r="A89" s="41" t="s">
        <v>99</v>
      </c>
      <c r="B89" s="41"/>
      <c r="C89" s="43"/>
      <c r="D89" s="30">
        <v>40000000</v>
      </c>
      <c r="E89" s="2"/>
      <c r="F89" s="2"/>
      <c r="G89" s="2"/>
      <c r="H89" s="2"/>
      <c r="I89" s="2"/>
      <c r="J89" s="2"/>
      <c r="K89" s="2"/>
      <c r="L89" s="2"/>
      <c r="M89" s="2"/>
      <c r="N89" s="2"/>
      <c r="O89" s="2"/>
      <c r="P89" s="2"/>
      <c r="Q89" s="2"/>
      <c r="R89" s="2"/>
      <c r="S89" s="2"/>
      <c r="T89" s="2"/>
    </row>
    <row r="90" spans="1:20" ht="25.5" x14ac:dyDescent="0.2">
      <c r="A90" s="14" t="s">
        <v>100</v>
      </c>
      <c r="B90" s="5"/>
      <c r="C90" s="43"/>
      <c r="D90" s="27">
        <f>+D91+D93+D95+D99+D96</f>
        <v>432478785</v>
      </c>
      <c r="E90" s="2"/>
      <c r="F90" s="2"/>
      <c r="G90" s="2"/>
      <c r="H90" s="2"/>
      <c r="I90" s="2"/>
      <c r="J90" s="2"/>
      <c r="K90" s="2"/>
      <c r="L90" s="2"/>
      <c r="M90" s="2"/>
      <c r="N90" s="2"/>
      <c r="O90" s="2"/>
      <c r="P90" s="2"/>
      <c r="Q90" s="2"/>
      <c r="R90" s="2"/>
      <c r="S90" s="2"/>
      <c r="T90" s="2"/>
    </row>
    <row r="91" spans="1:20" ht="22.5" x14ac:dyDescent="0.2">
      <c r="A91" s="17" t="s">
        <v>101</v>
      </c>
      <c r="B91" s="42"/>
      <c r="C91" s="43"/>
      <c r="D91" s="28">
        <f>+D92</f>
        <v>76881726</v>
      </c>
      <c r="E91" s="2"/>
      <c r="F91" s="2"/>
      <c r="G91" s="2"/>
      <c r="H91" s="2"/>
      <c r="I91" s="2"/>
      <c r="J91" s="2"/>
      <c r="K91" s="2"/>
      <c r="L91" s="2"/>
      <c r="M91" s="2"/>
      <c r="N91" s="2"/>
      <c r="O91" s="2"/>
      <c r="P91" s="2"/>
      <c r="Q91" s="2"/>
      <c r="R91" s="2"/>
      <c r="S91" s="2"/>
      <c r="T91" s="2"/>
    </row>
    <row r="92" spans="1:20" ht="22.5" x14ac:dyDescent="0.2">
      <c r="A92" s="18" t="s">
        <v>102</v>
      </c>
      <c r="B92" s="42"/>
      <c r="C92" s="43"/>
      <c r="D92" s="29">
        <v>76881726</v>
      </c>
      <c r="E92" s="2"/>
      <c r="F92" s="2"/>
      <c r="G92" s="2"/>
      <c r="H92" s="2"/>
      <c r="I92" s="2"/>
      <c r="J92" s="2"/>
      <c r="K92" s="2"/>
      <c r="L92" s="2"/>
      <c r="M92" s="2"/>
      <c r="N92" s="2"/>
      <c r="O92" s="2"/>
      <c r="P92" s="2"/>
      <c r="Q92" s="2"/>
      <c r="R92" s="2"/>
      <c r="S92" s="2"/>
      <c r="T92" s="2"/>
    </row>
    <row r="93" spans="1:20" ht="22.5" x14ac:dyDescent="0.2">
      <c r="A93" s="17" t="s">
        <v>103</v>
      </c>
      <c r="B93" s="42"/>
      <c r="C93" s="43"/>
      <c r="D93" s="28">
        <f>+D94</f>
        <v>165597059</v>
      </c>
      <c r="E93" s="2"/>
      <c r="F93" s="2"/>
      <c r="G93" s="2"/>
      <c r="H93" s="2"/>
      <c r="I93" s="2"/>
      <c r="J93" s="2"/>
      <c r="K93" s="2"/>
      <c r="L93" s="2"/>
      <c r="M93" s="2"/>
      <c r="N93" s="2"/>
      <c r="O93" s="2"/>
      <c r="P93" s="2"/>
      <c r="Q93" s="2"/>
      <c r="R93" s="2"/>
      <c r="S93" s="2"/>
      <c r="T93" s="2"/>
    </row>
    <row r="94" spans="1:20" ht="22.5" x14ac:dyDescent="0.2">
      <c r="A94" s="18" t="s">
        <v>104</v>
      </c>
      <c r="B94" s="42"/>
      <c r="C94" s="43"/>
      <c r="D94" s="29">
        <v>165597059</v>
      </c>
      <c r="E94" s="2"/>
      <c r="F94" s="2"/>
      <c r="G94" s="2"/>
      <c r="H94" s="2"/>
      <c r="I94" s="2"/>
      <c r="J94" s="2"/>
      <c r="K94" s="2"/>
      <c r="L94" s="2"/>
      <c r="M94" s="2"/>
      <c r="N94" s="2"/>
      <c r="O94" s="2"/>
      <c r="P94" s="2"/>
      <c r="Q94" s="2"/>
      <c r="R94" s="2"/>
      <c r="S94" s="2"/>
      <c r="T94" s="2"/>
    </row>
    <row r="95" spans="1:20" ht="22.5" x14ac:dyDescent="0.2">
      <c r="A95" s="15" t="s">
        <v>105</v>
      </c>
      <c r="B95" s="41"/>
      <c r="C95" s="43"/>
      <c r="D95" s="28">
        <v>10000000</v>
      </c>
      <c r="E95" s="2"/>
      <c r="F95" s="2"/>
      <c r="G95" s="2"/>
      <c r="H95" s="2"/>
      <c r="I95" s="2"/>
      <c r="J95" s="2"/>
      <c r="K95" s="2"/>
      <c r="L95" s="2"/>
      <c r="M95" s="2"/>
      <c r="N95" s="2"/>
      <c r="O95" s="2"/>
      <c r="P95" s="2"/>
      <c r="Q95" s="2"/>
      <c r="R95" s="2"/>
      <c r="S95" s="2"/>
      <c r="T95" s="2"/>
    </row>
    <row r="96" spans="1:20" ht="33.75" x14ac:dyDescent="0.2">
      <c r="A96" s="17" t="s">
        <v>106</v>
      </c>
      <c r="B96" s="42"/>
      <c r="C96" s="43"/>
      <c r="D96" s="28">
        <f>SUM(D97:D98)</f>
        <v>100000000</v>
      </c>
      <c r="E96" s="2"/>
      <c r="F96" s="2"/>
      <c r="G96" s="2"/>
      <c r="H96" s="2"/>
      <c r="I96" s="2"/>
      <c r="J96" s="2"/>
      <c r="K96" s="2"/>
      <c r="L96" s="2"/>
      <c r="M96" s="2"/>
      <c r="N96" s="2"/>
      <c r="O96" s="2"/>
      <c r="P96" s="2"/>
      <c r="Q96" s="2"/>
      <c r="R96" s="2"/>
      <c r="S96" s="2"/>
      <c r="T96" s="2"/>
    </row>
    <row r="97" spans="1:20" x14ac:dyDescent="0.2">
      <c r="A97" s="16" t="s">
        <v>107</v>
      </c>
      <c r="B97" s="41"/>
      <c r="C97" s="43"/>
      <c r="D97" s="29">
        <v>65000000</v>
      </c>
      <c r="E97" s="2"/>
      <c r="F97" s="2"/>
      <c r="G97" s="2"/>
      <c r="H97" s="2"/>
      <c r="I97" s="2"/>
      <c r="J97" s="2"/>
      <c r="K97" s="2"/>
      <c r="L97" s="2"/>
      <c r="M97" s="2"/>
      <c r="N97" s="2"/>
      <c r="O97" s="2"/>
      <c r="P97" s="2"/>
      <c r="Q97" s="2"/>
      <c r="R97" s="2"/>
      <c r="S97" s="2"/>
      <c r="T97" s="2"/>
    </row>
    <row r="98" spans="1:20" x14ac:dyDescent="0.2">
      <c r="A98" s="42" t="s">
        <v>108</v>
      </c>
      <c r="B98" s="42"/>
      <c r="C98" s="43"/>
      <c r="D98" s="29">
        <v>35000000</v>
      </c>
      <c r="E98" s="2"/>
      <c r="F98" s="2"/>
      <c r="G98" s="2"/>
      <c r="H98" s="2"/>
      <c r="I98" s="2"/>
      <c r="J98" s="2"/>
      <c r="K98" s="2"/>
      <c r="L98" s="2"/>
      <c r="M98" s="2"/>
      <c r="N98" s="2"/>
      <c r="O98" s="2"/>
      <c r="P98" s="2"/>
      <c r="Q98" s="2"/>
      <c r="R98" s="2"/>
      <c r="S98" s="2"/>
      <c r="T98" s="2"/>
    </row>
    <row r="99" spans="1:20" x14ac:dyDescent="0.2">
      <c r="A99" s="17" t="s">
        <v>109</v>
      </c>
      <c r="B99" s="42"/>
      <c r="C99" s="43"/>
      <c r="D99" s="28">
        <v>80000000</v>
      </c>
      <c r="E99" s="2"/>
      <c r="F99" s="2"/>
      <c r="G99" s="2"/>
      <c r="H99" s="2"/>
      <c r="I99" s="2"/>
      <c r="J99" s="2"/>
      <c r="K99" s="2"/>
      <c r="L99" s="2"/>
      <c r="M99" s="2"/>
      <c r="N99" s="2"/>
      <c r="O99" s="2"/>
      <c r="P99" s="2"/>
      <c r="Q99" s="2"/>
      <c r="R99" s="2"/>
      <c r="S99" s="2"/>
      <c r="T99" s="2"/>
    </row>
    <row r="100" spans="1:20" ht="38.25" x14ac:dyDescent="0.2">
      <c r="A100" s="14" t="s">
        <v>110</v>
      </c>
      <c r="B100" s="5"/>
      <c r="C100" s="43"/>
      <c r="D100" s="27">
        <f>+D101+D112+D114</f>
        <v>2322945608</v>
      </c>
      <c r="E100" s="2"/>
      <c r="F100" s="2"/>
      <c r="G100" s="2"/>
      <c r="H100" s="2"/>
      <c r="I100" s="2"/>
      <c r="J100" s="2"/>
      <c r="K100" s="2"/>
      <c r="L100" s="2"/>
      <c r="M100" s="2"/>
      <c r="N100" s="2"/>
      <c r="O100" s="2"/>
      <c r="P100" s="2"/>
      <c r="Q100" s="2"/>
      <c r="R100" s="2"/>
      <c r="S100" s="2"/>
      <c r="T100" s="2"/>
    </row>
    <row r="101" spans="1:20" ht="33.75" x14ac:dyDescent="0.2">
      <c r="A101" s="17" t="s">
        <v>111</v>
      </c>
      <c r="B101" s="42"/>
      <c r="C101" s="43"/>
      <c r="D101" s="28">
        <f>+D102+D103+D104+D110+D111</f>
        <v>1862945608</v>
      </c>
      <c r="E101" s="2"/>
      <c r="F101" s="2"/>
      <c r="G101" s="2"/>
      <c r="H101" s="2"/>
      <c r="I101" s="2"/>
      <c r="J101" s="2"/>
      <c r="K101" s="2"/>
      <c r="L101" s="2"/>
      <c r="M101" s="2"/>
      <c r="N101" s="2"/>
      <c r="O101" s="2"/>
      <c r="P101" s="2"/>
      <c r="Q101" s="2"/>
      <c r="R101" s="2"/>
      <c r="S101" s="2"/>
      <c r="T101" s="2"/>
    </row>
    <row r="102" spans="1:20" ht="33.75" x14ac:dyDescent="0.2">
      <c r="A102" s="42" t="s">
        <v>112</v>
      </c>
      <c r="B102" s="42"/>
      <c r="C102" s="43"/>
      <c r="D102" s="32">
        <v>40000000</v>
      </c>
      <c r="E102" s="2"/>
      <c r="F102" s="2"/>
      <c r="G102" s="2"/>
      <c r="H102" s="2"/>
      <c r="I102" s="2"/>
      <c r="J102" s="2"/>
      <c r="K102" s="2"/>
      <c r="L102" s="2"/>
      <c r="M102" s="2"/>
      <c r="N102" s="2"/>
      <c r="O102" s="2"/>
      <c r="P102" s="2"/>
      <c r="Q102" s="2"/>
      <c r="R102" s="2"/>
      <c r="S102" s="2"/>
      <c r="T102" s="2"/>
    </row>
    <row r="103" spans="1:20" ht="33.75" x14ac:dyDescent="0.2">
      <c r="A103" s="16" t="s">
        <v>113</v>
      </c>
      <c r="B103" s="41"/>
      <c r="C103" s="43"/>
      <c r="D103" s="29">
        <v>50000000</v>
      </c>
      <c r="E103" s="2"/>
      <c r="F103" s="2"/>
      <c r="G103" s="2"/>
      <c r="H103" s="2"/>
      <c r="I103" s="2"/>
      <c r="J103" s="2"/>
      <c r="K103" s="2"/>
      <c r="L103" s="2"/>
      <c r="M103" s="2"/>
      <c r="N103" s="2"/>
      <c r="O103" s="2"/>
      <c r="P103" s="2"/>
      <c r="Q103" s="2"/>
      <c r="R103" s="2"/>
      <c r="S103" s="2"/>
      <c r="T103" s="2"/>
    </row>
    <row r="104" spans="1:20" ht="22.5" x14ac:dyDescent="0.2">
      <c r="A104" s="23" t="s">
        <v>114</v>
      </c>
      <c r="B104" s="24"/>
      <c r="C104" s="43"/>
      <c r="D104" s="44">
        <f>SUM(D105:D109)</f>
        <v>307500000</v>
      </c>
      <c r="E104" s="2"/>
      <c r="F104" s="2"/>
      <c r="G104" s="2"/>
      <c r="H104" s="2"/>
      <c r="I104" s="2"/>
      <c r="J104" s="2"/>
      <c r="K104" s="2"/>
      <c r="L104" s="2"/>
      <c r="M104" s="2"/>
      <c r="N104" s="2"/>
      <c r="O104" s="2"/>
      <c r="P104" s="2"/>
      <c r="Q104" s="2"/>
      <c r="R104" s="2"/>
      <c r="S104" s="2"/>
      <c r="T104" s="2"/>
    </row>
    <row r="105" spans="1:20" ht="33.75" x14ac:dyDescent="0.2">
      <c r="A105" s="16" t="s">
        <v>115</v>
      </c>
      <c r="B105" s="41"/>
      <c r="C105" s="43"/>
      <c r="D105" s="29">
        <v>150000000</v>
      </c>
      <c r="E105" s="2"/>
      <c r="F105" s="2"/>
      <c r="G105" s="2"/>
      <c r="H105" s="2"/>
      <c r="I105" s="2"/>
      <c r="J105" s="2"/>
      <c r="K105" s="2"/>
      <c r="L105" s="2"/>
      <c r="M105" s="2"/>
      <c r="N105" s="2"/>
      <c r="O105" s="2"/>
      <c r="P105" s="2"/>
      <c r="Q105" s="2"/>
      <c r="R105" s="2"/>
      <c r="S105" s="2"/>
      <c r="T105" s="2"/>
    </row>
    <row r="106" spans="1:20" ht="33.75" x14ac:dyDescent="0.2">
      <c r="A106" s="16" t="s">
        <v>116</v>
      </c>
      <c r="B106" s="41"/>
      <c r="C106" s="43"/>
      <c r="D106" s="29">
        <v>67000000</v>
      </c>
      <c r="E106" s="2"/>
      <c r="F106" s="2"/>
      <c r="G106" s="2"/>
      <c r="H106" s="2"/>
      <c r="I106" s="2"/>
      <c r="J106" s="2"/>
      <c r="K106" s="2"/>
      <c r="L106" s="2"/>
      <c r="M106" s="2"/>
      <c r="N106" s="2"/>
      <c r="O106" s="2"/>
      <c r="P106" s="2"/>
      <c r="Q106" s="2"/>
      <c r="R106" s="2"/>
      <c r="S106" s="2"/>
      <c r="T106" s="2"/>
    </row>
    <row r="107" spans="1:20" ht="33.75" x14ac:dyDescent="0.2">
      <c r="A107" s="16" t="s">
        <v>117</v>
      </c>
      <c r="B107" s="41"/>
      <c r="C107" s="43"/>
      <c r="D107" s="29">
        <v>25000000</v>
      </c>
      <c r="E107" s="2"/>
      <c r="F107" s="2"/>
      <c r="G107" s="2"/>
      <c r="H107" s="2"/>
      <c r="I107" s="2"/>
      <c r="J107" s="2"/>
      <c r="K107" s="2"/>
      <c r="L107" s="2"/>
      <c r="M107" s="2"/>
      <c r="N107" s="2"/>
      <c r="O107" s="2"/>
      <c r="P107" s="2"/>
      <c r="Q107" s="2"/>
      <c r="R107" s="2"/>
      <c r="S107" s="2"/>
      <c r="T107" s="2"/>
    </row>
    <row r="108" spans="1:20" ht="45" x14ac:dyDescent="0.2">
      <c r="A108" s="16" t="s">
        <v>118</v>
      </c>
      <c r="B108" s="41"/>
      <c r="C108" s="43"/>
      <c r="D108" s="29">
        <v>52000000</v>
      </c>
      <c r="E108" s="2"/>
      <c r="F108" s="2"/>
      <c r="G108" s="2"/>
      <c r="H108" s="2"/>
      <c r="I108" s="2"/>
      <c r="J108" s="2"/>
      <c r="K108" s="2"/>
      <c r="L108" s="2"/>
      <c r="M108" s="2"/>
      <c r="N108" s="2"/>
      <c r="O108" s="2"/>
      <c r="P108" s="2"/>
      <c r="Q108" s="2"/>
      <c r="R108" s="2"/>
      <c r="S108" s="2"/>
      <c r="T108" s="2"/>
    </row>
    <row r="109" spans="1:20" ht="22.5" x14ac:dyDescent="0.2">
      <c r="A109" s="16" t="s">
        <v>119</v>
      </c>
      <c r="B109" s="41"/>
      <c r="C109" s="43"/>
      <c r="D109" s="29">
        <v>13500000</v>
      </c>
      <c r="E109" s="2"/>
      <c r="F109" s="2"/>
      <c r="G109" s="2"/>
      <c r="H109" s="2"/>
      <c r="I109" s="2"/>
      <c r="J109" s="2"/>
      <c r="K109" s="2"/>
      <c r="L109" s="2"/>
      <c r="M109" s="2"/>
      <c r="N109" s="2"/>
      <c r="O109" s="2"/>
      <c r="P109" s="2"/>
      <c r="Q109" s="2"/>
      <c r="R109" s="2"/>
      <c r="S109" s="2"/>
      <c r="T109" s="2"/>
    </row>
    <row r="110" spans="1:20" ht="22.5" x14ac:dyDescent="0.2">
      <c r="A110" s="41" t="s">
        <v>323</v>
      </c>
      <c r="B110" s="41"/>
      <c r="C110" s="43"/>
      <c r="D110" s="29">
        <v>200000000</v>
      </c>
      <c r="E110" s="2"/>
      <c r="F110" s="2"/>
      <c r="G110" s="2"/>
      <c r="H110" s="2"/>
      <c r="I110" s="2"/>
      <c r="J110" s="2"/>
      <c r="K110" s="2"/>
      <c r="L110" s="2"/>
      <c r="M110" s="2"/>
      <c r="N110" s="2"/>
      <c r="O110" s="2"/>
      <c r="P110" s="2"/>
      <c r="Q110" s="2"/>
      <c r="R110" s="2"/>
      <c r="S110" s="2"/>
      <c r="T110" s="2"/>
    </row>
    <row r="111" spans="1:20" ht="22.5" x14ac:dyDescent="0.2">
      <c r="A111" s="42" t="s">
        <v>120</v>
      </c>
      <c r="B111" s="42"/>
      <c r="C111" s="43"/>
      <c r="D111" s="29">
        <v>1265445608</v>
      </c>
      <c r="E111" s="2"/>
      <c r="F111" s="2"/>
      <c r="G111" s="2"/>
      <c r="H111" s="2"/>
      <c r="I111" s="2"/>
      <c r="J111" s="2"/>
      <c r="K111" s="2"/>
      <c r="L111" s="2"/>
      <c r="M111" s="2"/>
      <c r="N111" s="2"/>
      <c r="O111" s="2"/>
      <c r="P111" s="2"/>
      <c r="Q111" s="2"/>
      <c r="R111" s="2"/>
      <c r="S111" s="2"/>
      <c r="T111" s="2"/>
    </row>
    <row r="112" spans="1:20" ht="33.75" x14ac:dyDescent="0.2">
      <c r="A112" s="17" t="s">
        <v>121</v>
      </c>
      <c r="B112" s="42"/>
      <c r="C112" s="43"/>
      <c r="D112" s="28">
        <f>+D113</f>
        <v>200000000</v>
      </c>
      <c r="E112" s="2"/>
      <c r="F112" s="2"/>
      <c r="G112" s="2"/>
      <c r="H112" s="2"/>
      <c r="I112" s="2"/>
      <c r="J112" s="2"/>
      <c r="K112" s="2"/>
      <c r="L112" s="2"/>
      <c r="M112" s="2"/>
      <c r="N112" s="2"/>
      <c r="O112" s="2"/>
      <c r="P112" s="2"/>
      <c r="Q112" s="2"/>
      <c r="R112" s="2"/>
      <c r="S112" s="2"/>
      <c r="T112" s="2"/>
    </row>
    <row r="113" spans="1:20" ht="22.5" x14ac:dyDescent="0.2">
      <c r="A113" s="16" t="s">
        <v>122</v>
      </c>
      <c r="B113" s="41"/>
      <c r="C113" s="43"/>
      <c r="D113" s="10">
        <v>200000000</v>
      </c>
      <c r="E113" s="2"/>
      <c r="F113" s="2"/>
      <c r="G113" s="2"/>
      <c r="H113" s="2"/>
      <c r="I113" s="2"/>
      <c r="J113" s="2"/>
      <c r="K113" s="2"/>
      <c r="L113" s="2"/>
      <c r="M113" s="2"/>
      <c r="N113" s="2"/>
      <c r="O113" s="2"/>
      <c r="P113" s="2"/>
      <c r="Q113" s="2"/>
      <c r="R113" s="2"/>
      <c r="S113" s="2"/>
      <c r="T113" s="2"/>
    </row>
    <row r="114" spans="1:20" ht="33.75" x14ac:dyDescent="0.2">
      <c r="A114" s="17" t="s">
        <v>123</v>
      </c>
      <c r="B114" s="42"/>
      <c r="C114" s="43"/>
      <c r="D114" s="28">
        <v>260000000</v>
      </c>
      <c r="E114" s="2"/>
      <c r="F114" s="2"/>
      <c r="G114" s="2"/>
      <c r="H114" s="2"/>
      <c r="I114" s="2"/>
      <c r="J114" s="2"/>
      <c r="K114" s="2"/>
      <c r="L114" s="2"/>
      <c r="M114" s="2"/>
      <c r="N114" s="2"/>
      <c r="O114" s="2"/>
      <c r="P114" s="2"/>
      <c r="Q114" s="2"/>
      <c r="R114" s="2"/>
      <c r="S114" s="2"/>
      <c r="T114" s="2"/>
    </row>
    <row r="115" spans="1:20" x14ac:dyDescent="0.2">
      <c r="D115" s="117"/>
    </row>
    <row r="117" spans="1:20" x14ac:dyDescent="0.2">
      <c r="D117" s="54">
        <v>12051380006</v>
      </c>
      <c r="E117" s="118">
        <v>1200000000</v>
      </c>
      <c r="F117" s="118">
        <v>8120000000</v>
      </c>
    </row>
  </sheetData>
  <mergeCells count="13">
    <mergeCell ref="T3:T4"/>
    <mergeCell ref="F15:F16"/>
    <mergeCell ref="D2:T2"/>
    <mergeCell ref="D3:G3"/>
    <mergeCell ref="H3:K3"/>
    <mergeCell ref="L3:O3"/>
    <mergeCell ref="P3:S3"/>
    <mergeCell ref="D18:D19"/>
    <mergeCell ref="D68:D71"/>
    <mergeCell ref="D73:D75"/>
    <mergeCell ref="A3:A4"/>
    <mergeCell ref="B3:B4"/>
    <mergeCell ref="C3: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2"/>
  <sheetViews>
    <sheetView topLeftCell="C12" workbookViewId="0">
      <selection activeCell="C12" sqref="C12"/>
    </sheetView>
  </sheetViews>
  <sheetFormatPr baseColWidth="10" defaultRowHeight="12.75" x14ac:dyDescent="0.2"/>
  <cols>
    <col min="1" max="1" width="42.42578125" customWidth="1"/>
  </cols>
  <sheetData>
    <row r="3" spans="1:1" x14ac:dyDescent="0.2">
      <c r="A3" t="s">
        <v>578</v>
      </c>
    </row>
    <row r="5" spans="1:1" x14ac:dyDescent="0.2">
      <c r="A5" t="s">
        <v>579</v>
      </c>
    </row>
    <row r="6" spans="1:1" x14ac:dyDescent="0.2">
      <c r="A6" t="s">
        <v>580</v>
      </c>
    </row>
    <row r="7" spans="1:1" x14ac:dyDescent="0.2">
      <c r="A7" t="s">
        <v>581</v>
      </c>
    </row>
    <row r="8" spans="1:1" x14ac:dyDescent="0.2">
      <c r="A8" t="s">
        <v>582</v>
      </c>
    </row>
    <row r="9" spans="1:1" x14ac:dyDescent="0.2">
      <c r="A9" t="s">
        <v>583</v>
      </c>
    </row>
    <row r="10" spans="1:1" x14ac:dyDescent="0.2">
      <c r="A10" t="s">
        <v>584</v>
      </c>
    </row>
    <row r="11" spans="1:1" x14ac:dyDescent="0.2">
      <c r="A11" t="s">
        <v>585</v>
      </c>
    </row>
    <row r="12" spans="1:1" x14ac:dyDescent="0.2">
      <c r="A12" t="s">
        <v>586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C12" workbookViewId="0">
      <selection activeCell="C12" sqref="C12"/>
    </sheetView>
  </sheetViews>
  <sheetFormatPr baseColWidth="10" defaultRowHeight="12.75" x14ac:dyDescent="0.2"/>
  <cols>
    <col min="2" max="2" width="35.7109375" customWidth="1"/>
  </cols>
  <sheetData>
    <row r="1" spans="1:7" x14ac:dyDescent="0.2">
      <c r="A1" s="380" t="s">
        <v>630</v>
      </c>
    </row>
    <row r="2" spans="1:7" x14ac:dyDescent="0.2">
      <c r="A2" s="380" t="s">
        <v>631</v>
      </c>
    </row>
    <row r="3" spans="1:7" x14ac:dyDescent="0.2">
      <c r="A3" s="380" t="s">
        <v>632</v>
      </c>
    </row>
    <row r="4" spans="1:7" x14ac:dyDescent="0.2">
      <c r="A4" s="380" t="s">
        <v>633</v>
      </c>
    </row>
    <row r="5" spans="1:7" x14ac:dyDescent="0.2">
      <c r="A5" s="380" t="s">
        <v>634</v>
      </c>
    </row>
    <row r="6" spans="1:7" x14ac:dyDescent="0.2">
      <c r="A6" s="380" t="s">
        <v>635</v>
      </c>
    </row>
    <row r="7" spans="1:7" x14ac:dyDescent="0.2">
      <c r="A7" s="380" t="s">
        <v>636</v>
      </c>
    </row>
    <row r="8" spans="1:7" x14ac:dyDescent="0.2">
      <c r="A8" s="380"/>
    </row>
    <row r="9" spans="1:7" ht="13.5" thickBot="1" x14ac:dyDescent="0.25">
      <c r="A9" s="380" t="s">
        <v>637</v>
      </c>
    </row>
    <row r="10" spans="1:7" ht="13.5" thickBot="1" x14ac:dyDescent="0.25">
      <c r="A10" s="381" t="s">
        <v>638</v>
      </c>
      <c r="B10" s="382" t="s">
        <v>639</v>
      </c>
      <c r="C10" s="383" t="s">
        <v>640</v>
      </c>
      <c r="D10" s="382" t="s">
        <v>641</v>
      </c>
      <c r="E10" s="382" t="s">
        <v>642</v>
      </c>
      <c r="F10" s="382" t="s">
        <v>643</v>
      </c>
      <c r="G10" s="382" t="s">
        <v>644</v>
      </c>
    </row>
    <row r="11" spans="1:7" ht="13.5" thickBot="1" x14ac:dyDescent="0.25">
      <c r="A11" s="384">
        <v>0</v>
      </c>
      <c r="B11" s="385" t="s">
        <v>645</v>
      </c>
      <c r="C11" s="385"/>
      <c r="D11" s="385"/>
      <c r="E11" s="385">
        <v>2</v>
      </c>
      <c r="F11" s="385">
        <v>2</v>
      </c>
      <c r="G11" s="385">
        <f t="shared" ref="G11:G18" si="0">SUM(C11:F11)</f>
        <v>4</v>
      </c>
    </row>
    <row r="12" spans="1:7" ht="13.5" thickBot="1" x14ac:dyDescent="0.25">
      <c r="A12" s="384" t="s">
        <v>646</v>
      </c>
      <c r="B12" s="385" t="s">
        <v>647</v>
      </c>
      <c r="C12" s="385">
        <v>4</v>
      </c>
      <c r="D12" s="385">
        <v>5</v>
      </c>
      <c r="E12" s="385">
        <v>3</v>
      </c>
      <c r="F12" s="385">
        <v>1</v>
      </c>
      <c r="G12" s="385">
        <f t="shared" si="0"/>
        <v>13</v>
      </c>
    </row>
    <row r="13" spans="1:7" ht="13.5" thickBot="1" x14ac:dyDescent="0.25">
      <c r="A13" s="384" t="s">
        <v>648</v>
      </c>
      <c r="B13" s="385" t="s">
        <v>649</v>
      </c>
      <c r="C13" s="385">
        <v>4</v>
      </c>
      <c r="D13" s="385">
        <v>5</v>
      </c>
      <c r="E13" s="385">
        <v>3</v>
      </c>
      <c r="F13" s="385">
        <v>1</v>
      </c>
      <c r="G13" s="385">
        <f t="shared" si="0"/>
        <v>13</v>
      </c>
    </row>
    <row r="14" spans="1:7" ht="13.5" thickBot="1" x14ac:dyDescent="0.25">
      <c r="A14" s="384" t="s">
        <v>650</v>
      </c>
      <c r="B14" s="385" t="s">
        <v>651</v>
      </c>
      <c r="C14" s="385"/>
      <c r="D14" s="385"/>
      <c r="E14" s="385"/>
      <c r="F14" s="385"/>
      <c r="G14" s="385">
        <f t="shared" si="0"/>
        <v>0</v>
      </c>
    </row>
    <row r="15" spans="1:7" ht="13.5" thickBot="1" x14ac:dyDescent="0.25">
      <c r="A15" s="384" t="s">
        <v>652</v>
      </c>
      <c r="B15" s="385" t="s">
        <v>653</v>
      </c>
      <c r="C15" s="385"/>
      <c r="D15" s="385"/>
      <c r="E15" s="385">
        <v>2</v>
      </c>
      <c r="F15" s="385">
        <v>2</v>
      </c>
      <c r="G15" s="385">
        <f t="shared" si="0"/>
        <v>4</v>
      </c>
    </row>
    <row r="16" spans="1:7" ht="13.5" thickBot="1" x14ac:dyDescent="0.25">
      <c r="A16" s="384" t="s">
        <v>654</v>
      </c>
      <c r="B16" s="385" t="s">
        <v>655</v>
      </c>
      <c r="C16" s="385"/>
      <c r="D16" s="385"/>
      <c r="E16" s="385">
        <v>2</v>
      </c>
      <c r="F16" s="385">
        <v>2</v>
      </c>
      <c r="G16" s="385">
        <f t="shared" si="0"/>
        <v>4</v>
      </c>
    </row>
    <row r="17" spans="1:7" ht="13.5" thickBot="1" x14ac:dyDescent="0.25">
      <c r="A17" s="384" t="s">
        <v>656</v>
      </c>
      <c r="B17" s="385" t="s">
        <v>657</v>
      </c>
      <c r="C17" s="385"/>
      <c r="D17" s="385"/>
      <c r="E17" s="385">
        <v>2</v>
      </c>
      <c r="F17" s="385">
        <v>2</v>
      </c>
      <c r="G17" s="385">
        <f t="shared" si="0"/>
        <v>4</v>
      </c>
    </row>
    <row r="18" spans="1:7" ht="13.5" thickBot="1" x14ac:dyDescent="0.25">
      <c r="A18" s="386" t="s">
        <v>658</v>
      </c>
      <c r="B18" s="387" t="s">
        <v>659</v>
      </c>
      <c r="C18" s="387"/>
      <c r="D18" s="387"/>
      <c r="E18" s="387"/>
      <c r="F18" s="387">
        <v>2</v>
      </c>
      <c r="G18" s="385">
        <f t="shared" si="0"/>
        <v>2</v>
      </c>
    </row>
    <row r="19" spans="1:7" ht="13.5" thickBot="1" x14ac:dyDescent="0.25">
      <c r="A19" s="384" t="s">
        <v>660</v>
      </c>
      <c r="B19" s="385" t="s">
        <v>661</v>
      </c>
      <c r="C19" s="385"/>
      <c r="D19" s="385"/>
      <c r="E19" s="385"/>
      <c r="F19" s="385"/>
      <c r="G19" s="385"/>
    </row>
    <row r="20" spans="1:7" x14ac:dyDescent="0.2">
      <c r="A20" s="388" t="s">
        <v>662</v>
      </c>
    </row>
    <row r="21" spans="1:7" x14ac:dyDescent="0.2">
      <c r="A21" s="388" t="s">
        <v>663</v>
      </c>
    </row>
    <row r="22" spans="1:7" x14ac:dyDescent="0.2">
      <c r="A22" s="388" t="s">
        <v>664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C9" workbookViewId="0">
      <selection activeCell="C9" sqref="C9"/>
    </sheetView>
  </sheetViews>
  <sheetFormatPr baseColWidth="10" defaultRowHeight="12.75" x14ac:dyDescent="0.2"/>
  <cols>
    <col min="1" max="1" width="3.42578125" bestFit="1" customWidth="1"/>
    <col min="2" max="2" width="35.5703125" customWidth="1"/>
    <col min="3" max="3" width="25.85546875" customWidth="1"/>
    <col min="4" max="4" width="12.5703125" customWidth="1"/>
    <col min="5" max="5" width="5.5703125" bestFit="1" customWidth="1"/>
    <col min="6" max="8" width="6.5703125" bestFit="1" customWidth="1"/>
    <col min="9" max="9" width="8.140625" customWidth="1"/>
    <col min="10" max="10" width="23.5703125" customWidth="1"/>
  </cols>
  <sheetData>
    <row r="1" spans="1:10" x14ac:dyDescent="0.2">
      <c r="A1" s="1892" t="s">
        <v>930</v>
      </c>
      <c r="B1" s="1892" t="s">
        <v>6</v>
      </c>
      <c r="C1" s="1892" t="s">
        <v>931</v>
      </c>
      <c r="D1" s="1892" t="s">
        <v>0</v>
      </c>
      <c r="E1" s="1892" t="s">
        <v>932</v>
      </c>
      <c r="F1" s="1892"/>
      <c r="G1" s="1892"/>
      <c r="H1" s="1892"/>
      <c r="I1" s="1892"/>
      <c r="J1" s="1892" t="s">
        <v>933</v>
      </c>
    </row>
    <row r="2" spans="1:10" x14ac:dyDescent="0.2">
      <c r="A2" s="1892"/>
      <c r="B2" s="1892"/>
      <c r="C2" s="1892"/>
      <c r="D2" s="1892"/>
      <c r="E2" s="442">
        <v>2016</v>
      </c>
      <c r="F2" s="442">
        <v>2017</v>
      </c>
      <c r="G2" s="442">
        <v>2018</v>
      </c>
      <c r="H2" s="442">
        <v>2019</v>
      </c>
      <c r="I2" s="442" t="s">
        <v>17</v>
      </c>
      <c r="J2" s="1892"/>
    </row>
    <row r="3" spans="1:10" x14ac:dyDescent="0.2">
      <c r="A3" s="443"/>
      <c r="B3" s="444"/>
      <c r="C3" s="444"/>
      <c r="D3" s="444"/>
      <c r="E3" s="444"/>
      <c r="F3" s="444"/>
      <c r="G3" s="444"/>
      <c r="H3" s="444"/>
      <c r="I3" s="444"/>
      <c r="J3" s="445"/>
    </row>
    <row r="4" spans="1:10" x14ac:dyDescent="0.2">
      <c r="A4" s="1893" t="s">
        <v>934</v>
      </c>
      <c r="B4" s="1894"/>
      <c r="C4" s="1894"/>
      <c r="D4" s="1894"/>
      <c r="E4" s="1894"/>
      <c r="F4" s="1894"/>
      <c r="G4" s="1894"/>
      <c r="H4" s="1894"/>
      <c r="I4" s="1894"/>
      <c r="J4" s="1895"/>
    </row>
    <row r="5" spans="1:10" ht="60" x14ac:dyDescent="0.2">
      <c r="A5" s="446">
        <v>1</v>
      </c>
      <c r="B5" s="447" t="s">
        <v>935</v>
      </c>
      <c r="C5" s="447" t="s">
        <v>936</v>
      </c>
      <c r="D5" s="448" t="s">
        <v>147</v>
      </c>
      <c r="E5" s="449">
        <v>22</v>
      </c>
      <c r="F5" s="449">
        <v>26</v>
      </c>
      <c r="G5" s="449">
        <v>25</v>
      </c>
      <c r="H5" s="449">
        <v>23</v>
      </c>
      <c r="I5" s="450">
        <f>SUM(E5:H5)</f>
        <v>96</v>
      </c>
      <c r="J5" s="451"/>
    </row>
    <row r="6" spans="1:10" ht="36" x14ac:dyDescent="0.2">
      <c r="A6" s="446">
        <v>2</v>
      </c>
      <c r="B6" s="452" t="s">
        <v>937</v>
      </c>
      <c r="C6" s="447" t="s">
        <v>938</v>
      </c>
      <c r="D6" s="448" t="s">
        <v>147</v>
      </c>
      <c r="E6" s="449"/>
      <c r="F6" s="449">
        <v>100</v>
      </c>
      <c r="G6" s="449"/>
      <c r="H6" s="449">
        <v>100</v>
      </c>
      <c r="I6" s="453">
        <v>100</v>
      </c>
      <c r="J6" s="454" t="s">
        <v>939</v>
      </c>
    </row>
    <row r="7" spans="1:10" ht="72" x14ac:dyDescent="0.2">
      <c r="A7" s="446">
        <v>3</v>
      </c>
      <c r="B7" s="452" t="s">
        <v>940</v>
      </c>
      <c r="C7" s="447" t="s">
        <v>851</v>
      </c>
      <c r="D7" s="455" t="s">
        <v>147</v>
      </c>
      <c r="E7" s="456">
        <v>100</v>
      </c>
      <c r="F7" s="456">
        <v>100</v>
      </c>
      <c r="G7" s="456">
        <v>100</v>
      </c>
      <c r="H7" s="456">
        <v>100</v>
      </c>
      <c r="I7" s="457">
        <v>100</v>
      </c>
      <c r="J7" s="458" t="s">
        <v>941</v>
      </c>
    </row>
    <row r="8" spans="1:10" ht="48" x14ac:dyDescent="0.2">
      <c r="A8" s="446">
        <v>4</v>
      </c>
      <c r="B8" s="447" t="s">
        <v>942</v>
      </c>
      <c r="C8" s="447" t="s">
        <v>943</v>
      </c>
      <c r="D8" s="459" t="s">
        <v>147</v>
      </c>
      <c r="E8" s="457"/>
      <c r="F8" s="457">
        <v>100</v>
      </c>
      <c r="G8" s="457">
        <v>100</v>
      </c>
      <c r="H8" s="449"/>
      <c r="I8" s="457">
        <v>100</v>
      </c>
      <c r="J8" s="460" t="s">
        <v>944</v>
      </c>
    </row>
    <row r="9" spans="1:10" ht="36" x14ac:dyDescent="0.2">
      <c r="A9" s="446">
        <v>5</v>
      </c>
      <c r="B9" s="447" t="s">
        <v>945</v>
      </c>
      <c r="C9" s="447" t="s">
        <v>826</v>
      </c>
      <c r="D9" s="448" t="s">
        <v>147</v>
      </c>
      <c r="E9" s="449"/>
      <c r="F9" s="457"/>
      <c r="G9" s="457">
        <v>100</v>
      </c>
      <c r="H9" s="457">
        <v>100</v>
      </c>
      <c r="I9" s="457">
        <v>100</v>
      </c>
      <c r="J9" s="460" t="s">
        <v>772</v>
      </c>
    </row>
    <row r="10" spans="1:10" ht="36" x14ac:dyDescent="0.2">
      <c r="A10" s="446">
        <v>6</v>
      </c>
      <c r="B10" s="461" t="s">
        <v>946</v>
      </c>
      <c r="C10" s="447" t="s">
        <v>829</v>
      </c>
      <c r="D10" s="462" t="s">
        <v>147</v>
      </c>
      <c r="E10" s="463"/>
      <c r="F10" s="449"/>
      <c r="G10" s="449">
        <v>100</v>
      </c>
      <c r="H10" s="449"/>
      <c r="I10" s="453">
        <f>SUM(E10:H10)</f>
        <v>100</v>
      </c>
      <c r="J10" s="464" t="s">
        <v>734</v>
      </c>
    </row>
    <row r="11" spans="1:10" ht="84" x14ac:dyDescent="0.2">
      <c r="A11" s="446">
        <v>7</v>
      </c>
      <c r="B11" s="447" t="s">
        <v>947</v>
      </c>
      <c r="C11" s="447" t="s">
        <v>851</v>
      </c>
      <c r="D11" s="465" t="s">
        <v>147</v>
      </c>
      <c r="E11" s="456">
        <v>100</v>
      </c>
      <c r="F11" s="466">
        <v>100</v>
      </c>
      <c r="G11" s="466">
        <v>100</v>
      </c>
      <c r="H11" s="466">
        <v>100</v>
      </c>
      <c r="I11" s="457">
        <v>100</v>
      </c>
      <c r="J11" s="458" t="s">
        <v>948</v>
      </c>
    </row>
    <row r="12" spans="1:10" ht="48" x14ac:dyDescent="0.2">
      <c r="A12" s="446">
        <v>8</v>
      </c>
      <c r="B12" s="447" t="s">
        <v>949</v>
      </c>
      <c r="C12" s="447" t="s">
        <v>853</v>
      </c>
      <c r="D12" s="467" t="s">
        <v>147</v>
      </c>
      <c r="E12" s="468">
        <v>100</v>
      </c>
      <c r="F12" s="468">
        <v>100</v>
      </c>
      <c r="G12" s="468">
        <v>100</v>
      </c>
      <c r="H12" s="468">
        <v>100</v>
      </c>
      <c r="I12" s="468">
        <v>100</v>
      </c>
      <c r="J12" s="469" t="s">
        <v>950</v>
      </c>
    </row>
    <row r="13" spans="1:10" ht="48" x14ac:dyDescent="0.2">
      <c r="A13" s="470">
        <v>9</v>
      </c>
      <c r="B13" s="455" t="s">
        <v>951</v>
      </c>
      <c r="C13" s="471" t="s">
        <v>862</v>
      </c>
      <c r="D13" s="472" t="s">
        <v>147</v>
      </c>
      <c r="E13" s="473">
        <v>100</v>
      </c>
      <c r="F13" s="473">
        <v>100</v>
      </c>
      <c r="G13" s="473">
        <v>100</v>
      </c>
      <c r="H13" s="473">
        <v>100</v>
      </c>
      <c r="I13" s="473">
        <v>100</v>
      </c>
      <c r="J13" s="474" t="s">
        <v>813</v>
      </c>
    </row>
    <row r="14" spans="1:10" x14ac:dyDescent="0.2">
      <c r="A14" s="1893" t="s">
        <v>952</v>
      </c>
      <c r="B14" s="1894"/>
      <c r="C14" s="1894"/>
      <c r="D14" s="1894"/>
      <c r="E14" s="1894"/>
      <c r="F14" s="1894"/>
      <c r="G14" s="1894"/>
      <c r="H14" s="1894"/>
      <c r="I14" s="1894"/>
      <c r="J14" s="1895"/>
    </row>
    <row r="15" spans="1:10" ht="60" x14ac:dyDescent="0.2">
      <c r="A15" s="446">
        <v>10</v>
      </c>
      <c r="B15" s="447" t="s">
        <v>953</v>
      </c>
      <c r="C15" s="447" t="s">
        <v>846</v>
      </c>
      <c r="D15" s="459" t="s">
        <v>147</v>
      </c>
      <c r="E15" s="475">
        <v>100</v>
      </c>
      <c r="F15" s="475">
        <v>100</v>
      </c>
      <c r="G15" s="475">
        <v>100</v>
      </c>
      <c r="H15" s="476">
        <v>100</v>
      </c>
      <c r="I15" s="477">
        <v>100</v>
      </c>
      <c r="J15" s="469" t="s">
        <v>954</v>
      </c>
    </row>
    <row r="16" spans="1:10" ht="36" x14ac:dyDescent="0.2">
      <c r="A16" s="446">
        <v>11</v>
      </c>
      <c r="B16" s="447" t="s">
        <v>955</v>
      </c>
      <c r="C16" s="447" t="s">
        <v>956</v>
      </c>
      <c r="D16" s="448" t="s">
        <v>147</v>
      </c>
      <c r="E16" s="449"/>
      <c r="F16" s="449"/>
      <c r="G16" s="449"/>
      <c r="H16" s="449">
        <v>100</v>
      </c>
      <c r="I16" s="453">
        <f>SUM(E16:H16)</f>
        <v>100</v>
      </c>
      <c r="J16" s="454" t="s">
        <v>957</v>
      </c>
    </row>
    <row r="17" spans="1:10" ht="96" x14ac:dyDescent="0.2">
      <c r="A17" s="446">
        <v>12</v>
      </c>
      <c r="B17" s="447" t="s">
        <v>958</v>
      </c>
      <c r="C17" s="447" t="s">
        <v>959</v>
      </c>
      <c r="D17" s="478" t="s">
        <v>147</v>
      </c>
      <c r="E17" s="453">
        <v>100</v>
      </c>
      <c r="F17" s="453">
        <v>100</v>
      </c>
      <c r="G17" s="453">
        <v>100</v>
      </c>
      <c r="H17" s="453">
        <v>100</v>
      </c>
      <c r="I17" s="453">
        <v>100</v>
      </c>
      <c r="J17" s="479" t="s">
        <v>960</v>
      </c>
    </row>
    <row r="18" spans="1:10" ht="84" x14ac:dyDescent="0.2">
      <c r="A18" s="446">
        <v>13</v>
      </c>
      <c r="B18" s="447" t="s">
        <v>961</v>
      </c>
      <c r="C18" s="447" t="s">
        <v>860</v>
      </c>
      <c r="D18" s="478" t="s">
        <v>147</v>
      </c>
      <c r="E18" s="453">
        <v>100</v>
      </c>
      <c r="F18" s="453">
        <v>100</v>
      </c>
      <c r="G18" s="453">
        <v>100</v>
      </c>
      <c r="H18" s="453">
        <v>100</v>
      </c>
      <c r="I18" s="453">
        <v>100</v>
      </c>
      <c r="J18" s="480" t="s">
        <v>781</v>
      </c>
    </row>
    <row r="19" spans="1:10" ht="120" x14ac:dyDescent="0.2">
      <c r="A19" s="446">
        <v>14</v>
      </c>
      <c r="B19" s="447" t="s">
        <v>962</v>
      </c>
      <c r="C19" s="447" t="s">
        <v>862</v>
      </c>
      <c r="D19" s="481" t="s">
        <v>147</v>
      </c>
      <c r="E19" s="482">
        <v>44</v>
      </c>
      <c r="F19" s="482">
        <v>44</v>
      </c>
      <c r="G19" s="482">
        <v>44</v>
      </c>
      <c r="H19" s="482">
        <v>44</v>
      </c>
      <c r="I19" s="482">
        <v>44</v>
      </c>
      <c r="J19" s="472" t="s">
        <v>840</v>
      </c>
    </row>
    <row r="20" spans="1:10" ht="60" x14ac:dyDescent="0.2">
      <c r="A20" s="446">
        <v>15</v>
      </c>
      <c r="B20" s="447" t="s">
        <v>963</v>
      </c>
      <c r="C20" s="447" t="s">
        <v>862</v>
      </c>
      <c r="D20" s="472" t="s">
        <v>697</v>
      </c>
      <c r="E20" s="482">
        <v>76</v>
      </c>
      <c r="F20" s="482">
        <v>76</v>
      </c>
      <c r="G20" s="482">
        <v>76</v>
      </c>
      <c r="H20" s="482">
        <v>76</v>
      </c>
      <c r="I20" s="482">
        <v>76</v>
      </c>
      <c r="J20" s="474" t="s">
        <v>964</v>
      </c>
    </row>
    <row r="21" spans="1:10" ht="60" x14ac:dyDescent="0.2">
      <c r="A21" s="446">
        <v>16</v>
      </c>
      <c r="B21" s="447" t="s">
        <v>965</v>
      </c>
      <c r="C21" s="447" t="s">
        <v>868</v>
      </c>
      <c r="D21" s="451" t="s">
        <v>147</v>
      </c>
      <c r="E21" s="449">
        <v>28</v>
      </c>
      <c r="F21" s="449">
        <v>30</v>
      </c>
      <c r="G21" s="449">
        <v>33</v>
      </c>
      <c r="H21" s="449">
        <v>36</v>
      </c>
      <c r="I21" s="453">
        <f>SUM(E21:H21)/4</f>
        <v>31.75</v>
      </c>
      <c r="J21" s="483" t="s">
        <v>966</v>
      </c>
    </row>
    <row r="22" spans="1:10" x14ac:dyDescent="0.2">
      <c r="A22" s="1893" t="s">
        <v>967</v>
      </c>
      <c r="B22" s="1894"/>
      <c r="C22" s="1894"/>
      <c r="D22" s="1894"/>
      <c r="E22" s="1894"/>
      <c r="F22" s="1894"/>
      <c r="G22" s="1894"/>
      <c r="H22" s="1894"/>
      <c r="I22" s="1894"/>
      <c r="J22" s="1895"/>
    </row>
    <row r="23" spans="1:10" ht="60" x14ac:dyDescent="0.2">
      <c r="A23" s="446">
        <v>17</v>
      </c>
      <c r="B23" s="447" t="s">
        <v>968</v>
      </c>
      <c r="C23" s="447" t="s">
        <v>844</v>
      </c>
      <c r="D23" s="459" t="s">
        <v>147</v>
      </c>
      <c r="E23" s="449"/>
      <c r="F23" s="449"/>
      <c r="G23" s="449"/>
      <c r="H23" s="449">
        <v>100</v>
      </c>
      <c r="I23" s="450">
        <v>100</v>
      </c>
      <c r="J23" s="480" t="s">
        <v>766</v>
      </c>
    </row>
    <row r="24" spans="1:10" ht="48" x14ac:dyDescent="0.2">
      <c r="A24" s="446">
        <v>18</v>
      </c>
      <c r="B24" s="447" t="s">
        <v>969</v>
      </c>
      <c r="C24" s="447" t="s">
        <v>855</v>
      </c>
      <c r="D24" s="465" t="s">
        <v>147</v>
      </c>
      <c r="E24" s="484"/>
      <c r="F24" s="484"/>
      <c r="G24" s="484"/>
      <c r="H24" s="453">
        <v>100</v>
      </c>
      <c r="I24" s="453">
        <v>100</v>
      </c>
      <c r="J24" s="485"/>
    </row>
    <row r="25" spans="1:10" ht="48" x14ac:dyDescent="0.2">
      <c r="A25" s="446">
        <v>19</v>
      </c>
      <c r="B25" s="447" t="s">
        <v>970</v>
      </c>
      <c r="C25" s="447" t="s">
        <v>829</v>
      </c>
      <c r="D25" s="459" t="s">
        <v>147</v>
      </c>
      <c r="E25" s="475"/>
      <c r="F25" s="475">
        <v>100</v>
      </c>
      <c r="G25" s="475">
        <v>100</v>
      </c>
      <c r="H25" s="475">
        <v>100</v>
      </c>
      <c r="I25" s="477">
        <v>100</v>
      </c>
      <c r="J25" s="462" t="s">
        <v>741</v>
      </c>
    </row>
    <row r="26" spans="1:10" ht="60" x14ac:dyDescent="0.2">
      <c r="A26" s="446">
        <v>20</v>
      </c>
      <c r="B26" s="447" t="s">
        <v>971</v>
      </c>
      <c r="C26" s="447" t="s">
        <v>829</v>
      </c>
      <c r="D26" s="486" t="s">
        <v>147</v>
      </c>
      <c r="E26" s="453">
        <v>25</v>
      </c>
      <c r="F26" s="453">
        <v>25</v>
      </c>
      <c r="G26" s="453">
        <v>25</v>
      </c>
      <c r="H26" s="453">
        <v>25</v>
      </c>
      <c r="I26" s="453">
        <v>25</v>
      </c>
      <c r="J26" s="480" t="s">
        <v>735</v>
      </c>
    </row>
    <row r="27" spans="1:10" ht="60" x14ac:dyDescent="0.2">
      <c r="A27" s="446">
        <v>21</v>
      </c>
      <c r="B27" s="447" t="s">
        <v>972</v>
      </c>
      <c r="C27" s="447" t="s">
        <v>862</v>
      </c>
      <c r="D27" s="487" t="s">
        <v>147</v>
      </c>
      <c r="E27" s="488">
        <v>100</v>
      </c>
      <c r="F27" s="488">
        <v>100</v>
      </c>
      <c r="G27" s="488">
        <v>100</v>
      </c>
      <c r="H27" s="488">
        <v>100</v>
      </c>
      <c r="I27" s="489">
        <v>100</v>
      </c>
      <c r="J27" s="490" t="s">
        <v>725</v>
      </c>
    </row>
    <row r="28" spans="1:10" ht="60" x14ac:dyDescent="0.2">
      <c r="A28" s="1896">
        <v>22</v>
      </c>
      <c r="B28" s="1897" t="s">
        <v>973</v>
      </c>
      <c r="C28" s="447" t="s">
        <v>844</v>
      </c>
      <c r="D28" s="459" t="s">
        <v>147</v>
      </c>
      <c r="E28" s="449">
        <v>100</v>
      </c>
      <c r="F28" s="449">
        <v>100</v>
      </c>
      <c r="G28" s="449">
        <v>100</v>
      </c>
      <c r="H28" s="449">
        <v>100</v>
      </c>
      <c r="I28" s="457">
        <v>100</v>
      </c>
      <c r="J28" s="460" t="s">
        <v>974</v>
      </c>
    </row>
    <row r="29" spans="1:10" ht="96" x14ac:dyDescent="0.2">
      <c r="A29" s="1896"/>
      <c r="B29" s="1897"/>
      <c r="C29" s="447" t="s">
        <v>848</v>
      </c>
      <c r="D29" s="174" t="s">
        <v>147</v>
      </c>
      <c r="E29" s="217">
        <v>100</v>
      </c>
      <c r="F29" s="217">
        <v>100</v>
      </c>
      <c r="G29" s="217">
        <v>100</v>
      </c>
      <c r="H29" s="217">
        <v>100</v>
      </c>
      <c r="I29" s="217">
        <v>100</v>
      </c>
      <c r="J29" s="395" t="s">
        <v>975</v>
      </c>
    </row>
    <row r="30" spans="1:10" ht="36" x14ac:dyDescent="0.2">
      <c r="A30" s="1896"/>
      <c r="B30" s="1897"/>
      <c r="C30" s="447" t="s">
        <v>976</v>
      </c>
      <c r="D30" s="167" t="s">
        <v>147</v>
      </c>
      <c r="E30" s="401"/>
      <c r="F30" s="378">
        <v>100</v>
      </c>
      <c r="G30" s="214"/>
      <c r="H30" s="214"/>
      <c r="I30" s="217">
        <v>100</v>
      </c>
      <c r="J30" s="397" t="s">
        <v>818</v>
      </c>
    </row>
    <row r="31" spans="1:10" ht="56.25" x14ac:dyDescent="0.2">
      <c r="A31" s="1896"/>
      <c r="B31" s="1897"/>
      <c r="C31" s="447" t="s">
        <v>831</v>
      </c>
      <c r="D31" s="491" t="s">
        <v>147</v>
      </c>
      <c r="E31" s="378">
        <v>100</v>
      </c>
      <c r="F31" s="378">
        <v>100</v>
      </c>
      <c r="G31" s="378">
        <v>100</v>
      </c>
      <c r="H31" s="378">
        <v>100</v>
      </c>
      <c r="I31" s="379">
        <v>100</v>
      </c>
      <c r="J31" s="398" t="s">
        <v>977</v>
      </c>
    </row>
    <row r="32" spans="1:10" ht="48" x14ac:dyDescent="0.2">
      <c r="A32" s="1896"/>
      <c r="B32" s="1897"/>
      <c r="C32" s="447" t="s">
        <v>978</v>
      </c>
      <c r="D32" s="492" t="s">
        <v>147</v>
      </c>
      <c r="E32" s="225"/>
      <c r="F32" s="225"/>
      <c r="G32" s="225"/>
      <c r="H32" s="214">
        <v>100</v>
      </c>
      <c r="I32" s="217">
        <f>+H32+G32+F32+E32</f>
        <v>100</v>
      </c>
      <c r="J32" s="397" t="s">
        <v>817</v>
      </c>
    </row>
    <row r="33" spans="1:10" ht="60" x14ac:dyDescent="0.2">
      <c r="A33" s="446">
        <v>23</v>
      </c>
      <c r="B33" s="447" t="s">
        <v>979</v>
      </c>
      <c r="C33" s="447" t="s">
        <v>827</v>
      </c>
      <c r="D33" s="493" t="s">
        <v>147</v>
      </c>
      <c r="E33" s="494"/>
      <c r="F33" s="495">
        <v>100</v>
      </c>
      <c r="G33" s="495">
        <v>100</v>
      </c>
      <c r="H33" s="495">
        <v>100</v>
      </c>
      <c r="I33" s="495">
        <v>100</v>
      </c>
      <c r="J33" s="451"/>
    </row>
    <row r="34" spans="1:10" ht="84" x14ac:dyDescent="0.2">
      <c r="A34" s="446">
        <v>24</v>
      </c>
      <c r="B34" s="447" t="s">
        <v>980</v>
      </c>
      <c r="C34" s="447" t="s">
        <v>855</v>
      </c>
      <c r="D34" s="448" t="s">
        <v>147</v>
      </c>
      <c r="E34" s="449">
        <v>100</v>
      </c>
      <c r="F34" s="449">
        <v>100</v>
      </c>
      <c r="G34" s="449">
        <v>100</v>
      </c>
      <c r="H34" s="449">
        <v>100</v>
      </c>
      <c r="I34" s="453">
        <v>100</v>
      </c>
      <c r="J34" s="469" t="s">
        <v>807</v>
      </c>
    </row>
    <row r="35" spans="1:10" ht="48" x14ac:dyDescent="0.2">
      <c r="A35" s="446">
        <v>25</v>
      </c>
      <c r="B35" s="461" t="s">
        <v>981</v>
      </c>
      <c r="C35" s="447" t="s">
        <v>862</v>
      </c>
      <c r="D35" s="472" t="s">
        <v>147</v>
      </c>
      <c r="E35" s="482">
        <v>100</v>
      </c>
      <c r="F35" s="482">
        <v>100</v>
      </c>
      <c r="G35" s="482">
        <v>100</v>
      </c>
      <c r="H35" s="482">
        <v>100</v>
      </c>
      <c r="I35" s="482">
        <v>100</v>
      </c>
      <c r="J35" s="496"/>
    </row>
    <row r="36" spans="1:10" ht="48" x14ac:dyDescent="0.2">
      <c r="A36" s="446">
        <v>26</v>
      </c>
      <c r="B36" s="447" t="s">
        <v>982</v>
      </c>
      <c r="C36" s="447" t="s">
        <v>855</v>
      </c>
      <c r="D36" s="167" t="s">
        <v>147</v>
      </c>
      <c r="E36" s="214">
        <v>35</v>
      </c>
      <c r="F36" s="214">
        <v>30</v>
      </c>
      <c r="G36" s="214">
        <v>23</v>
      </c>
      <c r="H36" s="214">
        <v>12</v>
      </c>
      <c r="I36" s="217">
        <f>SUM(E36:H36)</f>
        <v>100</v>
      </c>
      <c r="J36" s="451"/>
    </row>
    <row r="37" spans="1:10" ht="300" x14ac:dyDescent="0.2">
      <c r="A37" s="446">
        <v>27</v>
      </c>
      <c r="B37" s="497" t="s">
        <v>983</v>
      </c>
      <c r="C37" s="497" t="s">
        <v>858</v>
      </c>
      <c r="D37" s="479" t="s">
        <v>147</v>
      </c>
      <c r="E37" s="450">
        <v>100</v>
      </c>
      <c r="F37" s="450">
        <v>100</v>
      </c>
      <c r="G37" s="450">
        <v>100</v>
      </c>
      <c r="H37" s="450">
        <v>100</v>
      </c>
      <c r="I37" s="450">
        <v>100</v>
      </c>
      <c r="J37" s="480" t="s">
        <v>984</v>
      </c>
    </row>
  </sheetData>
  <mergeCells count="11">
    <mergeCell ref="J1:J2"/>
    <mergeCell ref="A4:J4"/>
    <mergeCell ref="A14:J14"/>
    <mergeCell ref="A22:J22"/>
    <mergeCell ref="A28:A32"/>
    <mergeCell ref="B28:B32"/>
    <mergeCell ref="E1:I1"/>
    <mergeCell ref="A1:A2"/>
    <mergeCell ref="B1:B2"/>
    <mergeCell ref="C1:C2"/>
    <mergeCell ref="D1: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7"/>
  <sheetViews>
    <sheetView zoomScale="85" zoomScaleNormal="85" workbookViewId="0">
      <selection sqref="A1:D1"/>
    </sheetView>
  </sheetViews>
  <sheetFormatPr baseColWidth="10" defaultColWidth="11.42578125" defaultRowHeight="12.75" x14ac:dyDescent="0.2"/>
  <cols>
    <col min="1" max="1" width="17.140625" customWidth="1"/>
    <col min="2" max="2" width="11.85546875" bestFit="1" customWidth="1"/>
    <col min="3" max="3" width="15.42578125" bestFit="1" customWidth="1"/>
    <col min="4" max="4" width="19.42578125" customWidth="1"/>
    <col min="5" max="5" width="3" customWidth="1"/>
    <col min="6" max="6" width="58.7109375" style="431" customWidth="1"/>
    <col min="7" max="8" width="13.5703125" customWidth="1"/>
    <col min="9" max="9" width="19.140625" customWidth="1"/>
    <col min="10" max="10" width="62.140625" customWidth="1"/>
    <col min="11" max="11" width="13.42578125" customWidth="1"/>
    <col min="12" max="12" width="12.42578125" bestFit="1" customWidth="1"/>
    <col min="13" max="13" width="16" hidden="1" customWidth="1"/>
    <col min="14" max="14" width="13.5703125" customWidth="1"/>
    <col min="15" max="15" width="16.28515625" bestFit="1" customWidth="1"/>
    <col min="16" max="17" width="19.140625" hidden="1" customWidth="1"/>
    <col min="18" max="18" width="37.28515625" customWidth="1"/>
    <col min="19" max="19" width="13.42578125" bestFit="1" customWidth="1"/>
    <col min="20" max="20" width="17.28515625" bestFit="1" customWidth="1"/>
    <col min="21" max="22" width="18" style="735" customWidth="1"/>
    <col min="23" max="23" width="19.140625" customWidth="1"/>
    <col min="24" max="24" width="50.28515625" customWidth="1"/>
    <col min="25" max="25" width="14.5703125" style="438" bestFit="1" customWidth="1"/>
    <col min="26" max="26" width="27.28515625" style="438" bestFit="1" customWidth="1"/>
    <col min="27" max="27" width="11.42578125" customWidth="1"/>
    <col min="28" max="28" width="6.42578125" customWidth="1"/>
    <col min="29" max="29" width="7.5703125" customWidth="1"/>
    <col min="30" max="30" width="13.5703125" bestFit="1" customWidth="1"/>
  </cols>
  <sheetData>
    <row r="1" spans="1:26" ht="29.25" customHeight="1" x14ac:dyDescent="0.2">
      <c r="A1" s="1761" t="s">
        <v>1330</v>
      </c>
      <c r="B1" s="1761"/>
      <c r="C1" s="1761"/>
      <c r="D1" s="1761"/>
    </row>
    <row r="2" spans="1:26" ht="75" x14ac:dyDescent="0.2">
      <c r="A2" s="429" t="s">
        <v>916</v>
      </c>
      <c r="B2" s="429" t="s">
        <v>1344</v>
      </c>
      <c r="C2" s="429" t="s">
        <v>1200</v>
      </c>
      <c r="D2" s="429" t="s">
        <v>1138</v>
      </c>
    </row>
    <row r="3" spans="1:26" ht="14.25" x14ac:dyDescent="0.2">
      <c r="A3" s="427" t="s">
        <v>915</v>
      </c>
      <c r="B3" s="428">
        <f>+'Anexo 1.MAO'!AD193</f>
        <v>25.726152943604919</v>
      </c>
      <c r="C3" s="428">
        <f>+'Anexo 1.MAO'!AF193</f>
        <v>47.737269031084658</v>
      </c>
      <c r="D3" s="428">
        <f>+'Anexo 1.MAO'!AK193</f>
        <v>30.76898603452883</v>
      </c>
    </row>
    <row r="4" spans="1:26" s="119" customFormat="1" ht="33.75" customHeight="1" x14ac:dyDescent="0.2">
      <c r="F4" s="1762" t="s">
        <v>1331</v>
      </c>
      <c r="G4" s="1762"/>
      <c r="H4" s="1762"/>
      <c r="I4" s="1762"/>
      <c r="U4" s="736"/>
      <c r="V4" s="736"/>
      <c r="Y4" s="439"/>
      <c r="Z4" s="439"/>
    </row>
    <row r="5" spans="1:26" s="119" customFormat="1" ht="64.5" customHeight="1" x14ac:dyDescent="0.2">
      <c r="F5" s="498" t="s">
        <v>927</v>
      </c>
      <c r="G5" s="498" t="str">
        <f>+B2</f>
        <v>% DE CUMPLIMIENTO FISICO POND</v>
      </c>
      <c r="H5" s="498" t="s">
        <v>877</v>
      </c>
      <c r="I5" s="498" t="s">
        <v>926</v>
      </c>
      <c r="U5" s="736"/>
      <c r="V5" s="736"/>
      <c r="Y5" s="439"/>
      <c r="Z5" s="439"/>
    </row>
    <row r="6" spans="1:26" s="119" customFormat="1" x14ac:dyDescent="0.2">
      <c r="F6" s="499" t="str">
        <f>+'Anexo 1.MAO'!E6</f>
        <v>1. PLANIFICACION AMBIENTAL ARTICULADA E INTEGRAL</v>
      </c>
      <c r="G6" s="500">
        <f>+'Anexo 1.MAO'!AD6</f>
        <v>2.7230769230769232</v>
      </c>
      <c r="H6" s="500">
        <f>+'Anexo 1.MAO'!AF6</f>
        <v>59</v>
      </c>
      <c r="I6" s="500">
        <f>+'Anexo 1.MAO'!AK6</f>
        <v>28.969907407407408</v>
      </c>
      <c r="U6" s="736"/>
      <c r="V6" s="736"/>
      <c r="Y6" s="439"/>
      <c r="Z6" s="439"/>
    </row>
    <row r="7" spans="1:26" s="119" customFormat="1" x14ac:dyDescent="0.2">
      <c r="F7" s="501" t="str">
        <f>+'Anexo 1.MAO'!J7</f>
        <v xml:space="preserve">1.1  Ordenación de cuencas hidrográficas priorizadas </v>
      </c>
      <c r="G7" s="502">
        <f>+'Anexo 1.MAO'!AD7</f>
        <v>27.230769230769234</v>
      </c>
      <c r="H7" s="502">
        <f>+'Anexo 1.MAO'!AF7</f>
        <v>68</v>
      </c>
      <c r="I7" s="502">
        <f>+'Anexo 1.MAO'!AK7</f>
        <v>41.354166666666671</v>
      </c>
      <c r="U7" s="736"/>
      <c r="V7" s="736"/>
      <c r="Y7" s="439"/>
      <c r="Z7" s="439"/>
    </row>
    <row r="8" spans="1:26" s="119" customFormat="1" x14ac:dyDescent="0.2">
      <c r="F8" s="501" t="str">
        <f>+'Anexo 1.MAO'!J9</f>
        <v xml:space="preserve">1.2 Ordenamiento del recurso hídrico de fuentes hídricas priorizadas </v>
      </c>
      <c r="G8" s="502">
        <f>+'Anexo 1.MAO'!AD9</f>
        <v>0</v>
      </c>
      <c r="H8" s="502">
        <f>+'Anexo 1.MAO'!AF9</f>
        <v>50</v>
      </c>
      <c r="I8" s="502">
        <f>+'Anexo 1.MAO'!AK9</f>
        <v>45.55555555555555</v>
      </c>
      <c r="U8" s="736"/>
      <c r="V8" s="736"/>
      <c r="Y8" s="439"/>
      <c r="Z8" s="439"/>
    </row>
    <row r="9" spans="1:26" s="119" customFormat="1" hidden="1" x14ac:dyDescent="0.2">
      <c r="F9" s="501" t="str">
        <f>+'Anexo 1.MAO'!J15</f>
        <v xml:space="preserve">1.3 Formulación del Plan General de Ordenacion Forestal </v>
      </c>
      <c r="G9" s="502"/>
      <c r="H9" s="502"/>
      <c r="I9" s="502"/>
      <c r="U9" s="736"/>
      <c r="V9" s="736"/>
      <c r="Y9" s="439"/>
      <c r="Z9" s="439"/>
    </row>
    <row r="10" spans="1:26" s="119" customFormat="1" ht="24" x14ac:dyDescent="0.2">
      <c r="F10" s="501" t="str">
        <f>+'Anexo 1.MAO'!J17</f>
        <v>1.4 Planificación ambiental e implementación de acciones priorizadas en la Unidad Ambiental Costera Llanura Aluvial del Sur</v>
      </c>
      <c r="G10" s="502">
        <f>+'Anexo 1.MAO'!AD17</f>
        <v>0</v>
      </c>
      <c r="H10" s="502">
        <f>+'Anexo 1.MAO'!AF17</f>
        <v>25</v>
      </c>
      <c r="I10" s="502">
        <f>+'Anexo 1.MAO'!AK17</f>
        <v>0</v>
      </c>
      <c r="U10" s="736"/>
      <c r="V10" s="736"/>
      <c r="Y10" s="439"/>
      <c r="Z10" s="439"/>
    </row>
    <row r="11" spans="1:26" s="119" customFormat="1" x14ac:dyDescent="0.2">
      <c r="F11" s="499" t="str">
        <f>+'Anexo 1.MAO'!E20</f>
        <v>2. CAMBIO CLIMATICO Y GESTION DEL RIESGO</v>
      </c>
      <c r="G11" s="500">
        <f>+'Anexo 1.MAO'!AD20</f>
        <v>2.2860902777777783</v>
      </c>
      <c r="H11" s="500">
        <f>+'Anexo 1.MAO'!AF20</f>
        <v>41.495089285714286</v>
      </c>
      <c r="I11" s="500">
        <f>+'Anexo 1.MAO'!AK20</f>
        <v>31.761443140193137</v>
      </c>
      <c r="U11" s="736"/>
      <c r="V11" s="736"/>
      <c r="Y11" s="439"/>
      <c r="Z11" s="439"/>
    </row>
    <row r="12" spans="1:26" s="119" customFormat="1" x14ac:dyDescent="0.2">
      <c r="F12" s="501" t="str">
        <f>+'Anexo 1.MAO'!J21</f>
        <v xml:space="preserve">2.1 Gestión ambiental del riesgo </v>
      </c>
      <c r="G12" s="502">
        <f>+'Anexo 1.MAO'!AD21</f>
        <v>2.4486111111111111</v>
      </c>
      <c r="H12" s="502">
        <f>+'Anexo 1.MAO'!AF21</f>
        <v>36</v>
      </c>
      <c r="I12" s="502">
        <f>+'Anexo 1.MAO'!AK21</f>
        <v>29.804545454545451</v>
      </c>
      <c r="U12" s="736"/>
      <c r="V12" s="736"/>
      <c r="Y12" s="439"/>
      <c r="Z12" s="439"/>
    </row>
    <row r="13" spans="1:26" s="119" customFormat="1" ht="24" x14ac:dyDescent="0.2">
      <c r="F13" s="501" t="str">
        <f>+'Anexo 1.MAO'!J28</f>
        <v xml:space="preserve">2.2 Asesoría, evaluación y seguimiento de asuntos ambientales en los procesos de planeación y ordenamiento de los entes territoriales. </v>
      </c>
      <c r="G13" s="502">
        <f>+'Anexo 1.MAO'!AD28</f>
        <v>13.334166666666668</v>
      </c>
      <c r="H13" s="502">
        <f>+'Anexo 1.MAO'!AF28</f>
        <v>53.337500000000006</v>
      </c>
      <c r="I13" s="502">
        <f>+'Anexo 1.MAO'!AK28</f>
        <v>51.135000000000005</v>
      </c>
      <c r="U13" s="736"/>
      <c r="V13" s="736"/>
      <c r="Y13" s="439"/>
      <c r="Z13" s="439"/>
    </row>
    <row r="14" spans="1:26" s="119" customFormat="1" x14ac:dyDescent="0.2">
      <c r="F14" s="501" t="str">
        <f>+'Anexo 1.MAO'!J34</f>
        <v>2.3 Gestión de estrategias de adaptación al cambio climático</v>
      </c>
      <c r="G14" s="502">
        <f>+'Anexo 1.MAO'!AD34</f>
        <v>0</v>
      </c>
      <c r="H14" s="502">
        <f>+'Anexo 1.MAO'!AF34</f>
        <v>30</v>
      </c>
      <c r="I14" s="502">
        <f>+'Anexo 1.MAO'!AK34</f>
        <v>12.5</v>
      </c>
      <c r="U14" s="736"/>
      <c r="V14" s="736"/>
      <c r="Y14" s="439"/>
      <c r="Z14" s="439"/>
    </row>
    <row r="15" spans="1:26" s="119" customFormat="1" ht="24" x14ac:dyDescent="0.2">
      <c r="F15" s="501" t="str">
        <f>+'Anexo 1.MAO'!J39</f>
        <v>2.4 Monitoreo y generación de lineamientos para el manejo de la calidad del aire</v>
      </c>
      <c r="G15" s="502">
        <f>+'Anexo 1.MAO'!AD39</f>
        <v>7.078125</v>
      </c>
      <c r="H15" s="502">
        <f>+'Anexo 1.MAO'!AF39</f>
        <v>46.642857142857146</v>
      </c>
      <c r="I15" s="502">
        <f>+'Anexo 1.MAO'!AK39</f>
        <v>33.606227106227102</v>
      </c>
      <c r="U15" s="736"/>
      <c r="V15" s="736"/>
      <c r="Y15" s="439"/>
      <c r="Z15" s="439"/>
    </row>
    <row r="16" spans="1:26" s="119" customFormat="1" x14ac:dyDescent="0.2">
      <c r="F16" s="499" t="str">
        <f>+'Anexo 1.MAO'!E47</f>
        <v>3. GESTION DEL RECURSO HIDRICO</v>
      </c>
      <c r="G16" s="500">
        <f>+'Anexo 1.MAO'!AD47</f>
        <v>5.3153479071428569</v>
      </c>
      <c r="H16" s="500">
        <f>+'Anexo 1.MAO'!AF47</f>
        <v>37.828433333333329</v>
      </c>
      <c r="I16" s="500">
        <f>+'Anexo 1.MAO'!AK47</f>
        <v>30.796067384532762</v>
      </c>
      <c r="U16" s="736"/>
      <c r="V16" s="736"/>
      <c r="Y16" s="439"/>
      <c r="Z16" s="439"/>
    </row>
    <row r="17" spans="6:26" s="119" customFormat="1" ht="24" x14ac:dyDescent="0.2">
      <c r="F17" s="501" t="str">
        <f>+'Anexo 1.MAO'!J48</f>
        <v>3.1 Implementación de acciones de conservación y restauración en el marco de la ordenación de las cuencas priorizadas</v>
      </c>
      <c r="G17" s="502">
        <f>+'Anexo 1.MAO'!AD48</f>
        <v>9.0699527142857157</v>
      </c>
      <c r="H17" s="502">
        <f>+'Anexo 1.MAO'!AF48</f>
        <v>33.361666666666665</v>
      </c>
      <c r="I17" s="502">
        <f>+'Anexo 1.MAO'!AK47</f>
        <v>30.796067384532762</v>
      </c>
      <c r="U17" s="736"/>
      <c r="V17" s="736"/>
      <c r="Y17" s="439"/>
      <c r="Z17" s="439"/>
    </row>
    <row r="18" spans="6:26" s="119" customFormat="1" ht="24" x14ac:dyDescent="0.2">
      <c r="F18" s="501" t="str">
        <f>+'Anexo 1.MAO'!J57</f>
        <v xml:space="preserve">3.2 Implementación de acciones de descontaminación en corrientes hídricas superficiales priorizadas </v>
      </c>
      <c r="G18" s="502">
        <f>+'Anexo 1.MAO'!AD57</f>
        <v>0</v>
      </c>
      <c r="H18" s="502">
        <f>+'Anexo 1.MAO'!AF57</f>
        <v>20</v>
      </c>
      <c r="I18" s="502">
        <f>+'Anexo 1.MAO'!AK57</f>
        <v>25</v>
      </c>
      <c r="U18" s="736"/>
      <c r="V18" s="736"/>
      <c r="Y18" s="439"/>
      <c r="Z18" s="439"/>
    </row>
    <row r="19" spans="6:26" s="119" customFormat="1" ht="24" x14ac:dyDescent="0.2">
      <c r="F19" s="501" t="str">
        <f>+'Anexo 1.MAO'!J62</f>
        <v>3.3 Administracion y Seguimiento del Programa de Tasas Retributivas por Vertimientos Puntuales</v>
      </c>
      <c r="G19" s="502">
        <f>+'Anexo 1.MAO'!AD62</f>
        <v>14.215199999999999</v>
      </c>
      <c r="H19" s="502">
        <f>+'Anexo 1.MAO'!AF62</f>
        <v>75.027999999999992</v>
      </c>
      <c r="I19" s="502">
        <f>+'Anexo 1.MAO'!AK62</f>
        <v>35.640833333333333</v>
      </c>
      <c r="U19" s="736"/>
      <c r="V19" s="736"/>
      <c r="Y19" s="439"/>
      <c r="Z19" s="439"/>
    </row>
    <row r="20" spans="6:26" s="119" customFormat="1" ht="24" x14ac:dyDescent="0.2">
      <c r="F20" s="501" t="str">
        <f>+'Anexo 1.MAO'!J70</f>
        <v xml:space="preserve">3.4 Administración, monitoreo y seguimiento al uso y aprovechamiento del recurso hídrico </v>
      </c>
      <c r="G20" s="502">
        <f>+'Anexo 1.MAO'!AD70</f>
        <v>8.0945</v>
      </c>
      <c r="H20" s="502">
        <f>+'Anexo 1.MAO'!AF70</f>
        <v>40.472499999999997</v>
      </c>
      <c r="I20" s="502">
        <f>+'Anexo 1.MAO'!AK70</f>
        <v>31.993124999999999</v>
      </c>
      <c r="U20" s="736"/>
      <c r="V20" s="736"/>
      <c r="Y20" s="439"/>
      <c r="Z20" s="439"/>
    </row>
    <row r="21" spans="6:26" s="119" customFormat="1" ht="48" x14ac:dyDescent="0.2">
      <c r="F21" s="501" t="str">
        <f>+'Anexo 1.MAO'!J75</f>
        <v>3.5 Implementación de acciones de protección, recuperación o monitoreo del recurso hídrico en cuencas, a partir de los POMCAS o de los instrumentos de planificación de la Corporación (Art. 216 Ley 1450/11 TUA)</v>
      </c>
      <c r="G21" s="502">
        <f>+'Anexo 1.MAO'!AD75</f>
        <v>4.056</v>
      </c>
      <c r="H21" s="502">
        <f>+'Anexo 1.MAO'!AF75</f>
        <v>20.28</v>
      </c>
      <c r="I21" s="502">
        <f>+'Anexo 1.MAO'!AK75</f>
        <v>19.32</v>
      </c>
      <c r="U21" s="736"/>
      <c r="V21" s="736"/>
      <c r="Y21" s="439"/>
      <c r="Z21" s="439"/>
    </row>
    <row r="22" spans="6:26" s="119" customFormat="1" ht="24" x14ac:dyDescent="0.2">
      <c r="F22" s="499" t="str">
        <f>+'Anexo 1.MAO'!E77</f>
        <v>4. GESTION INTEGRAL DE LA BIODIVERSIDAD Y SUS SERVICIOS ECOSISTEMICOS</v>
      </c>
      <c r="G22" s="500">
        <f>+'Anexo 1.MAO'!AD77</f>
        <v>0.17499999999999996</v>
      </c>
      <c r="H22" s="500">
        <f>+'Anexo 1.MAO'!AF77</f>
        <v>48.208333333333336</v>
      </c>
      <c r="I22" s="500">
        <f>+'Anexo 1.MAO'!AK77</f>
        <v>33.128072390572392</v>
      </c>
      <c r="U22" s="736"/>
      <c r="V22" s="736"/>
      <c r="Y22" s="439"/>
      <c r="Z22" s="439"/>
    </row>
    <row r="23" spans="6:26" s="119" customFormat="1" x14ac:dyDescent="0.2">
      <c r="F23" s="501" t="str">
        <f>+'Anexo 1.MAO'!J78</f>
        <v>4.1 Conocimiento de la biodiversidad y de los servicios ecosistémicos</v>
      </c>
      <c r="G23" s="502">
        <f>+'Anexo 1.MAO'!AD78</f>
        <v>1.1666666666666665</v>
      </c>
      <c r="H23" s="502">
        <f>+'Anexo 1.MAO'!AF78</f>
        <v>64</v>
      </c>
      <c r="I23" s="502">
        <f>+'Anexo 1.MAO'!AK78</f>
        <v>50</v>
      </c>
      <c r="U23" s="736"/>
      <c r="V23" s="736"/>
      <c r="Y23" s="439"/>
      <c r="Z23" s="439"/>
    </row>
    <row r="24" spans="6:26" s="119" customFormat="1" x14ac:dyDescent="0.2">
      <c r="F24" s="501" t="str">
        <f>+'Anexo 1.MAO'!J87</f>
        <v>4.2 Usos de la biodiversidad y sus servicios ecosistémicos</v>
      </c>
      <c r="G24" s="502">
        <f>+'Anexo 1.MAO'!AD87</f>
        <v>0</v>
      </c>
      <c r="H24" s="502">
        <f>+'Anexo 1.MAO'!AF87</f>
        <v>27.5</v>
      </c>
      <c r="I24" s="502">
        <f>+'Anexo 1.MAO'!AK87</f>
        <v>16.666666666666668</v>
      </c>
      <c r="U24" s="736"/>
      <c r="V24" s="736"/>
      <c r="Y24" s="439"/>
      <c r="Z24" s="439"/>
    </row>
    <row r="25" spans="6:26" s="119" customFormat="1" x14ac:dyDescent="0.2">
      <c r="F25" s="501" t="str">
        <f>+'Anexo 1.MAO'!J94</f>
        <v>4.3 Conservación de la biodiversidad y sus servicios ecosistémicos</v>
      </c>
      <c r="G25" s="502">
        <f>+'Anexo 1.MAO'!AD94</f>
        <v>0</v>
      </c>
      <c r="H25" s="502">
        <f>+'Anexo 1.MAO'!AF94</f>
        <v>53.125</v>
      </c>
      <c r="I25" s="502">
        <f>+'Anexo 1.MAO'!AK94</f>
        <v>32.717550505050497</v>
      </c>
      <c r="U25" s="736"/>
      <c r="V25" s="736"/>
      <c r="Y25" s="439"/>
      <c r="Z25" s="439"/>
    </row>
    <row r="26" spans="6:26" s="119" customFormat="1" ht="24" x14ac:dyDescent="0.2">
      <c r="F26" s="499" t="str">
        <f>+'Anexo 1.MAO'!E105</f>
        <v>5. GOBERNANZA EN EL USO Y APROVECHAMIENTO DE LOS RECURSOS NATURALES Y EL AMBIENTE</v>
      </c>
      <c r="G26" s="500">
        <f>+'Anexo 1.MAO'!AD105</f>
        <v>8.7807084764697674</v>
      </c>
      <c r="H26" s="500">
        <f>+'Anexo 1.MAO'!AF105</f>
        <v>63.110416666666666</v>
      </c>
      <c r="I26" s="500">
        <f>+'Anexo 1.MAO'!AK105</f>
        <v>41.32364980673448</v>
      </c>
      <c r="U26" s="736"/>
      <c r="V26" s="736"/>
      <c r="Y26" s="439"/>
      <c r="Z26" s="439"/>
    </row>
    <row r="27" spans="6:26" s="119" customFormat="1" x14ac:dyDescent="0.2">
      <c r="F27" s="501" t="str">
        <f>+'Anexo 1.MAO'!J106</f>
        <v>5.1 Control y seguimiento a la gestión de residuos sólidos</v>
      </c>
      <c r="G27" s="502">
        <f>+'Anexo 1.MAO'!AD106</f>
        <v>7.7319006656426019</v>
      </c>
      <c r="H27" s="502">
        <f>+'Anexo 1.MAO'!AF106</f>
        <v>39.091666666666669</v>
      </c>
      <c r="I27" s="502">
        <f>+'Anexo 1.MAO'!AK106</f>
        <v>41.359799027137733</v>
      </c>
      <c r="U27" s="736"/>
      <c r="V27" s="736"/>
      <c r="Y27" s="439"/>
      <c r="Z27" s="439"/>
    </row>
    <row r="28" spans="6:26" s="119" customFormat="1" ht="24" x14ac:dyDescent="0.2">
      <c r="F28" s="501" t="str">
        <f>+'Anexo 1.MAO'!J113</f>
        <v>5.2 Evaluación y seguimiento de Planes de Contingencia de Estaciones de Servicio</v>
      </c>
      <c r="G28" s="502">
        <f>+'Anexo 1.MAO'!AD113</f>
        <v>14.531999999999998</v>
      </c>
      <c r="H28" s="502">
        <f>+'Anexo 1.MAO'!AF113</f>
        <v>72.66</v>
      </c>
      <c r="I28" s="502">
        <f>+'Anexo 1.MAO'!AK113</f>
        <v>19.61</v>
      </c>
      <c r="U28" s="736"/>
      <c r="V28" s="736"/>
      <c r="Y28" s="439"/>
      <c r="Z28" s="439"/>
    </row>
    <row r="29" spans="6:26" s="119" customFormat="1" ht="24" x14ac:dyDescent="0.2">
      <c r="F29" s="501" t="str">
        <f>+'Anexo 1.MAO'!J115</f>
        <v>5.3 Fortalecimiento de la Autoridad Ambiental Proceso Licencias, Permisos y Autorizaciones Ambientales</v>
      </c>
      <c r="G29" s="502">
        <f>+'Anexo 1.MAO'!AD115</f>
        <v>16.274155844155846</v>
      </c>
      <c r="H29" s="502">
        <f>+'Anexo 1.MAO'!AF115</f>
        <v>40.69</v>
      </c>
      <c r="I29" s="502">
        <f>+'Anexo 1.MAO'!AK115</f>
        <v>30.597527472527474</v>
      </c>
      <c r="U29" s="736"/>
      <c r="V29" s="736"/>
      <c r="Y29" s="439"/>
      <c r="Z29" s="439"/>
    </row>
    <row r="30" spans="6:26" s="119" customFormat="1" ht="24" x14ac:dyDescent="0.2">
      <c r="F30" s="501" t="str">
        <f>+'Anexo 1.MAO'!J131</f>
        <v>5.4 Fortalecimiento de la Autoridad Ambiental Proceso Ordenación y Manejo de los Recursos Naturales</v>
      </c>
      <c r="G30" s="502">
        <f>+'Anexo 1.MAO'!AD131</f>
        <v>20</v>
      </c>
      <c r="H30" s="502">
        <f>+'Anexo 1.MAO'!AF131</f>
        <v>100</v>
      </c>
      <c r="I30" s="502">
        <f>+'Anexo 1.MAO'!AK131</f>
        <v>73.727272727272734</v>
      </c>
      <c r="U30" s="736"/>
      <c r="V30" s="736"/>
      <c r="Y30" s="439"/>
      <c r="Z30" s="439"/>
    </row>
    <row r="31" spans="6:26" s="119" customFormat="1" ht="24" x14ac:dyDescent="0.2">
      <c r="F31" s="499" t="str">
        <f>+'Anexo 1.MAO'!E133</f>
        <v>6. DESARROLLO INSTITUCIONAL Y FORTALECIMIENTO A LA GESTION POR PROCESOS</v>
      </c>
      <c r="G31" s="500">
        <f>+'Anexo 1.MAO'!AD133</f>
        <v>1.8543322162804514</v>
      </c>
      <c r="H31" s="500">
        <f>+'Anexo 1.MAO'!AF133</f>
        <v>37.869629629629635</v>
      </c>
      <c r="I31" s="500">
        <f>+'Anexo 1.MAO'!AK133</f>
        <v>26.224747474747474</v>
      </c>
      <c r="U31" s="736"/>
      <c r="V31" s="736"/>
      <c r="Y31" s="439"/>
      <c r="Z31" s="439"/>
    </row>
    <row r="32" spans="6:26" s="119" customFormat="1" x14ac:dyDescent="0.2">
      <c r="F32" s="501" t="str">
        <f>+'Anexo 1.MAO'!J134</f>
        <v xml:space="preserve">6.1 Planeación institucional para la Gestión Ambiental </v>
      </c>
      <c r="G32" s="502">
        <f>+'Anexo 1.MAO'!AD134</f>
        <v>4.5</v>
      </c>
      <c r="H32" s="502">
        <f>+'Anexo 1.MAO'!AF134</f>
        <v>62.5</v>
      </c>
      <c r="I32" s="502">
        <f>+'Anexo 1.MAO'!AK134</f>
        <v>75</v>
      </c>
      <c r="U32" s="736"/>
      <c r="V32" s="736"/>
      <c r="Y32" s="439"/>
      <c r="Z32" s="439"/>
    </row>
    <row r="33" spans="6:26" s="119" customFormat="1" ht="24" x14ac:dyDescent="0.2">
      <c r="F33" s="501" t="str">
        <f>+'Anexo 1.MAO'!J140</f>
        <v>6.2 Fortalecimiento del Sistema de Gestión Institucional articulado con el MECI</v>
      </c>
      <c r="G33" s="502">
        <f>+'Anexo 1.MAO'!AD140</f>
        <v>0</v>
      </c>
      <c r="H33" s="502">
        <f>+'Anexo 1.MAO'!AF140</f>
        <v>50</v>
      </c>
      <c r="I33" s="502">
        <f>+'Anexo 1.MAO'!AK140</f>
        <v>25</v>
      </c>
      <c r="U33" s="736"/>
      <c r="V33" s="736"/>
      <c r="Y33" s="439"/>
      <c r="Z33" s="439"/>
    </row>
    <row r="34" spans="6:26" s="119" customFormat="1" x14ac:dyDescent="0.2">
      <c r="F34" s="501" t="str">
        <f>+'Anexo 1.MAO'!J144</f>
        <v>6.3 Mejoramiento de las rentas y gestión por proyecto</v>
      </c>
      <c r="G34" s="502">
        <f>+'Anexo 1.MAO'!AD144</f>
        <v>1.8629019607843136</v>
      </c>
      <c r="H34" s="502">
        <f>+'Anexo 1.MAO'!AF144</f>
        <v>38.96</v>
      </c>
      <c r="I34" s="502">
        <f>+'Anexo 1.MAO'!AK144</f>
        <v>25</v>
      </c>
      <c r="U34" s="736"/>
      <c r="V34" s="736"/>
      <c r="Y34" s="439"/>
      <c r="Z34" s="439"/>
    </row>
    <row r="35" spans="6:26" s="119" customFormat="1" x14ac:dyDescent="0.2">
      <c r="F35" s="501" t="str">
        <f>+'Anexo 1.MAO'!J148</f>
        <v>6.4 Fortalecimiento del proceso misional Gestión Jurídica</v>
      </c>
      <c r="G35" s="502">
        <f>+'Anexo 1.MAO'!AD148</f>
        <v>2.689511111111111</v>
      </c>
      <c r="H35" s="502">
        <f>+'Anexo 1.MAO'!AF148</f>
        <v>61.366666666666667</v>
      </c>
      <c r="I35" s="502">
        <f>+'Anexo 1.MAO'!AK148</f>
        <v>25</v>
      </c>
      <c r="U35" s="736"/>
      <c r="V35" s="736"/>
      <c r="Y35" s="439"/>
      <c r="Z35" s="439"/>
    </row>
    <row r="36" spans="6:26" s="119" customFormat="1" ht="24" x14ac:dyDescent="0.2">
      <c r="F36" s="501" t="str">
        <f>+'Anexo 1.MAO'!J152</f>
        <v>6.5 Apoyo a la actualización y/o conservación catastral municipios priorizados</v>
      </c>
      <c r="G36" s="502">
        <f>+'Anexo 1.MAO'!AD152</f>
        <v>0</v>
      </c>
      <c r="H36" s="502">
        <f>+'Anexo 1.MAO'!AF152</f>
        <v>0</v>
      </c>
      <c r="I36" s="502">
        <f>+'Anexo 1.MAO'!AK152</f>
        <v>0</v>
      </c>
      <c r="U36" s="736"/>
      <c r="V36" s="736"/>
      <c r="Y36" s="439"/>
      <c r="Z36" s="439"/>
    </row>
    <row r="37" spans="6:26" s="119" customFormat="1" ht="24" x14ac:dyDescent="0.2">
      <c r="F37" s="501" t="str">
        <f>+'Anexo 1.MAO'!J154</f>
        <v>6.6 Operación y administración de los Sistemas de Información de la Corporación (Ambiental y administrativo)</v>
      </c>
      <c r="G37" s="502">
        <f>+'Anexo 1.MAO'!AD154</f>
        <v>2.5</v>
      </c>
      <c r="H37" s="502">
        <f>+'Anexo 1.MAO'!AF154</f>
        <v>50</v>
      </c>
      <c r="I37" s="502">
        <f>+'Anexo 1.MAO'!AK157</f>
        <v>29.772727272727273</v>
      </c>
      <c r="U37" s="736"/>
      <c r="V37" s="736"/>
      <c r="Y37" s="439"/>
      <c r="Z37" s="439"/>
    </row>
    <row r="38" spans="6:26" s="119" customFormat="1" x14ac:dyDescent="0.2">
      <c r="F38" s="501" t="str">
        <f>+'Anexo 1.MAO'!J157</f>
        <v>6.7 Seguimiento y evaluación del SGI y MECI</v>
      </c>
      <c r="G38" s="502">
        <f>+'Anexo 1.MAO'!AD157</f>
        <v>1.9909090909090912</v>
      </c>
      <c r="H38" s="502">
        <f>+'Anexo 1.MAO'!AF157</f>
        <v>28</v>
      </c>
      <c r="I38" s="502">
        <f>+'Anexo 1.MAO'!AK157</f>
        <v>29.772727272727273</v>
      </c>
      <c r="U38" s="736"/>
      <c r="V38" s="736"/>
      <c r="Y38" s="439"/>
      <c r="Z38" s="439"/>
    </row>
    <row r="39" spans="6:26" s="119" customFormat="1" ht="24" x14ac:dyDescent="0.2">
      <c r="F39" s="501" t="str">
        <f>+'Anexo 1.MAO'!J162</f>
        <v>6.8 Mantenimiento, operación y mejora del laboratorio de calidad ambiental bajo la norma NTC ISO/IEC 17025</v>
      </c>
      <c r="G39" s="502">
        <f>+'Anexo 1.MAO'!AD162</f>
        <v>5</v>
      </c>
      <c r="H39" s="502">
        <f>+'Anexo 1.MAO'!AF162</f>
        <v>50</v>
      </c>
      <c r="I39" s="502">
        <f>+'Anexo 1.MAO'!AK162</f>
        <v>25</v>
      </c>
      <c r="U39" s="736"/>
      <c r="V39" s="736"/>
      <c r="Y39" s="439"/>
      <c r="Z39" s="439"/>
    </row>
    <row r="40" spans="6:26" s="119" customFormat="1" ht="24" x14ac:dyDescent="0.2">
      <c r="F40" s="501" t="str">
        <f>+'Anexo 1.MAO'!J166</f>
        <v>6.9 Fortalecimiento de la capacidad institucional para el cumplimiento de la Misión corporativa</v>
      </c>
      <c r="G40" s="502">
        <f>+'Anexo 1.MAO'!AD166</f>
        <v>0</v>
      </c>
      <c r="H40" s="502">
        <f>+'Anexo 1.MAO'!AF166</f>
        <v>0</v>
      </c>
      <c r="I40" s="502">
        <f>+'Anexo 1.MAO'!AK166</f>
        <v>0</v>
      </c>
      <c r="U40" s="736"/>
      <c r="V40" s="736"/>
      <c r="Y40" s="439"/>
      <c r="Z40" s="439"/>
    </row>
    <row r="41" spans="6:26" s="119" customFormat="1" ht="24" x14ac:dyDescent="0.2">
      <c r="F41" s="499" t="str">
        <f>+'Anexo 1.MAO'!E170</f>
        <v>7. FOMENTO A LA PRODUCCION Y CONSUMO SOSTENIBLE EN LOS SECTORES PRODUCTIVOS</v>
      </c>
      <c r="G41" s="500">
        <f>+'Anexo 1.MAO'!AD170</f>
        <v>1.862857142857143</v>
      </c>
      <c r="H41" s="500">
        <f>+'Anexo 1.MAO'!AF170</f>
        <v>25.186250000000001</v>
      </c>
      <c r="I41" s="500">
        <f>+'Anexo 1.MAO'!AK170</f>
        <v>28.948000672043012</v>
      </c>
      <c r="U41" s="736"/>
      <c r="V41" s="736"/>
      <c r="Y41" s="439"/>
      <c r="Z41" s="439"/>
    </row>
    <row r="42" spans="6:26" s="119" customFormat="1" ht="24" x14ac:dyDescent="0.2">
      <c r="F42" s="501" t="str">
        <f>+'Anexo 1.MAO'!J171</f>
        <v>7.1 Implementación de acciones priorizadas para el fomento de la producción y consumo sostenible</v>
      </c>
      <c r="G42" s="502">
        <f>+'Anexo 1.MAO'!AD171</f>
        <v>13.033333333333333</v>
      </c>
      <c r="H42" s="502">
        <f>+'Anexo 1.MAO'!AF171</f>
        <v>25.4</v>
      </c>
      <c r="I42" s="502">
        <f>+'Anexo 1.MAO'!AK171</f>
        <v>29.901209677419356</v>
      </c>
      <c r="U42" s="736"/>
      <c r="V42" s="736"/>
      <c r="Y42" s="439"/>
      <c r="Z42" s="439"/>
    </row>
    <row r="43" spans="6:26" s="119" customFormat="1" x14ac:dyDescent="0.2">
      <c r="F43" s="501" t="str">
        <f>+'Anexo 1.MAO'!J178</f>
        <v xml:space="preserve">7.2 Fomento de tecnologías limpias en la minería del oro </v>
      </c>
      <c r="G43" s="502">
        <f>+'Anexo 1.MAO'!AD178</f>
        <v>5.5952380952380967</v>
      </c>
      <c r="H43" s="502">
        <f>+'Anexo 1.MAO'!AF178</f>
        <v>24.9725</v>
      </c>
      <c r="I43" s="502">
        <f>+'Anexo 1.MAO'!AK178</f>
        <v>27.994791666666668</v>
      </c>
      <c r="U43" s="736"/>
      <c r="V43" s="736"/>
      <c r="Y43" s="439"/>
      <c r="Z43" s="439"/>
    </row>
    <row r="44" spans="6:26" s="119" customFormat="1" ht="24" x14ac:dyDescent="0.2">
      <c r="F44" s="499" t="str">
        <f>+'Anexo 1.MAO'!E183</f>
        <v xml:space="preserve">8. EDUCACION AMBIENTAL, PARTICIPACION Y FORTALECIMIENTO ORGANIZACIONAL </v>
      </c>
      <c r="G44" s="500">
        <f>+'Anexo 1.MAO'!AD183</f>
        <v>2.7287399999999997</v>
      </c>
      <c r="H44" s="500">
        <f>+'Anexo 1.MAO'!AF183</f>
        <v>69.2</v>
      </c>
      <c r="I44" s="500">
        <f>+'Anexo 1.MAO'!AK183</f>
        <v>25</v>
      </c>
      <c r="U44" s="736"/>
      <c r="V44" s="736"/>
      <c r="Y44" s="439"/>
      <c r="Z44" s="439"/>
    </row>
    <row r="45" spans="6:26" s="119" customFormat="1" ht="36" x14ac:dyDescent="0.2">
      <c r="F45" s="501" t="str">
        <f>+'Anexo 1.MAO'!J184</f>
        <v>8.1 Implementación de acciones de educación ambiental, participación  y fortalecimiento de organizaciones comunitarias, étnicas y ambientalistas</v>
      </c>
      <c r="G45" s="502">
        <f>+'Anexo 1.MAO'!AD184</f>
        <v>18.191599999999998</v>
      </c>
      <c r="H45" s="502">
        <f>+'Anexo 1.MAO'!AF184</f>
        <v>69.2</v>
      </c>
      <c r="I45" s="502">
        <f>+'Anexo 1.MAO'!AK184</f>
        <v>25</v>
      </c>
      <c r="U45" s="736"/>
      <c r="V45" s="736"/>
      <c r="Y45" s="439"/>
      <c r="Z45" s="439"/>
    </row>
    <row r="46" spans="6:26" x14ac:dyDescent="0.2">
      <c r="F46" s="503" t="s">
        <v>988</v>
      </c>
      <c r="G46" s="504">
        <f>+G6+G11+G16+G22+G26+G31+G41+G44</f>
        <v>25.726152943604919</v>
      </c>
      <c r="H46" s="504">
        <f>+(H6+H11+H16+H22+H26+H31+H41+H44)/8</f>
        <v>47.737269031084658</v>
      </c>
      <c r="I46" s="504">
        <f>(I6+I11+I16+I22+I26+I31+I41+I44)/8</f>
        <v>30.76898603452883</v>
      </c>
    </row>
    <row r="47" spans="6:26" x14ac:dyDescent="0.2">
      <c r="J47" s="727" t="s">
        <v>918</v>
      </c>
      <c r="K47" s="728"/>
      <c r="L47" s="728"/>
      <c r="M47" s="728"/>
      <c r="N47" s="728"/>
      <c r="O47" s="728"/>
      <c r="P47" s="728"/>
      <c r="Q47" s="728"/>
    </row>
    <row r="48" spans="6:26" ht="14.25" customHeight="1" x14ac:dyDescent="0.2">
      <c r="J48" s="1763" t="s">
        <v>1332</v>
      </c>
      <c r="K48" s="1764"/>
      <c r="L48" s="1764"/>
      <c r="M48" s="1764"/>
      <c r="N48" s="1764"/>
      <c r="O48" s="1764"/>
      <c r="P48" s="1764"/>
      <c r="Q48" s="1764"/>
    </row>
    <row r="49" spans="6:26" ht="57.75" customHeight="1" x14ac:dyDescent="0.2">
      <c r="J49" s="498" t="str">
        <f t="shared" ref="J49:J52" si="0">+F5</f>
        <v>PROGRAMAS / PROYECTOS PAI 2016-2019</v>
      </c>
      <c r="K49" s="498" t="s">
        <v>1117</v>
      </c>
      <c r="L49" s="498" t="str">
        <f>+B2</f>
        <v>% DE CUMPLIMIENTO FISICO POND</v>
      </c>
      <c r="M49" s="498" t="s">
        <v>1345</v>
      </c>
      <c r="N49" s="498" t="str">
        <f t="shared" ref="N49:N89" si="1">+H5</f>
        <v>% AVANCE PROCESO DE GESTION DE LA META</v>
      </c>
      <c r="O49" s="498" t="s">
        <v>1346</v>
      </c>
      <c r="P49" s="498" t="s">
        <v>1018</v>
      </c>
      <c r="Q49" s="758" t="s">
        <v>1019</v>
      </c>
    </row>
    <row r="50" spans="6:26" x14ac:dyDescent="0.2">
      <c r="J50" s="499" t="str">
        <f t="shared" si="0"/>
        <v>1. PLANIFICACION AMBIENTAL ARTICULADA E INTEGRAL</v>
      </c>
      <c r="K50" s="1375">
        <v>10</v>
      </c>
      <c r="L50" s="500">
        <f t="shared" ref="L50:L52" si="2">+G6</f>
        <v>2.7230769230769232</v>
      </c>
      <c r="M50" s="500">
        <f t="shared" ref="M50:M89" si="3">+L50*100/K50</f>
        <v>27.230769230769234</v>
      </c>
      <c r="N50" s="500">
        <f t="shared" si="1"/>
        <v>59</v>
      </c>
      <c r="O50" s="500">
        <f>+'Anexo 1.MAO'!BI6</f>
        <v>35.29939407033455</v>
      </c>
      <c r="P50" s="500">
        <f>+'Anexo 1.MAO'!BA6</f>
        <v>57.048462389562729</v>
      </c>
      <c r="Q50" s="759">
        <f>+'Anexo 1.MAO'!BC6</f>
        <v>52.6498611999926</v>
      </c>
    </row>
    <row r="51" spans="6:26" x14ac:dyDescent="0.2">
      <c r="J51" s="501" t="str">
        <f t="shared" si="0"/>
        <v xml:space="preserve">1.1  Ordenación de cuencas hidrográficas priorizadas </v>
      </c>
      <c r="K51" s="1376">
        <v>40</v>
      </c>
      <c r="L51" s="502">
        <f t="shared" si="2"/>
        <v>27.230769230769234</v>
      </c>
      <c r="M51" s="502">
        <f t="shared" si="3"/>
        <v>68.07692307692308</v>
      </c>
      <c r="N51" s="502">
        <f t="shared" si="1"/>
        <v>68</v>
      </c>
      <c r="O51" s="502">
        <f>+'Anexo 1.MAO'!BI7</f>
        <v>39.966389265379156</v>
      </c>
      <c r="P51" s="502">
        <f>+'Anexo 1.MAO'!BA7</f>
        <v>51.868547879713645</v>
      </c>
      <c r="Q51" s="760">
        <f>+'Anexo 1.MAO'!BC7</f>
        <v>51.868547879713645</v>
      </c>
    </row>
    <row r="52" spans="6:26" x14ac:dyDescent="0.2">
      <c r="J52" s="501" t="str">
        <f t="shared" si="0"/>
        <v xml:space="preserve">1.2 Ordenamiento del recurso hídrico de fuentes hídricas priorizadas </v>
      </c>
      <c r="K52" s="1376">
        <v>40</v>
      </c>
      <c r="L52" s="502">
        <f t="shared" si="2"/>
        <v>0</v>
      </c>
      <c r="M52" s="502">
        <f t="shared" si="3"/>
        <v>0</v>
      </c>
      <c r="N52" s="502">
        <f t="shared" si="1"/>
        <v>50</v>
      </c>
      <c r="O52" s="502">
        <f>+'Anexo 1.MAO'!BI9</f>
        <v>39.403935985178286</v>
      </c>
      <c r="P52" s="502">
        <f>+'Anexo 1.MAO'!BA9</f>
        <v>69.86732378329414</v>
      </c>
      <c r="Q52" s="760">
        <f>+'Anexo 1.MAO'!BC9</f>
        <v>54.583396423148969</v>
      </c>
    </row>
    <row r="53" spans="6:26" hidden="1" x14ac:dyDescent="0.2">
      <c r="J53" s="501" t="str">
        <f t="shared" ref="J53:J80" si="4">+F9</f>
        <v xml:space="preserve">1.3 Formulación del Plan General de Ordenacion Forestal </v>
      </c>
      <c r="K53" s="1376"/>
      <c r="L53" s="502">
        <f t="shared" ref="L53:L80" si="5">+G9</f>
        <v>0</v>
      </c>
      <c r="M53" s="502" t="e">
        <f t="shared" si="3"/>
        <v>#DIV/0!</v>
      </c>
      <c r="N53" s="502">
        <f t="shared" si="1"/>
        <v>0</v>
      </c>
      <c r="O53" s="502"/>
      <c r="P53" s="502"/>
      <c r="Q53" s="760"/>
    </row>
    <row r="54" spans="6:26" ht="24" x14ac:dyDescent="0.2">
      <c r="J54" s="501" t="str">
        <f t="shared" si="4"/>
        <v>1.4 Planificación ambiental e implementación de acciones priorizadas en la Unidad Ambiental Costera Llanura Aluvial del Sur</v>
      </c>
      <c r="K54" s="1376">
        <v>20</v>
      </c>
      <c r="L54" s="502">
        <f t="shared" si="5"/>
        <v>0</v>
      </c>
      <c r="M54" s="502">
        <f t="shared" si="3"/>
        <v>0</v>
      </c>
      <c r="N54" s="502">
        <f t="shared" si="1"/>
        <v>25</v>
      </c>
      <c r="O54" s="502">
        <f>+'Anexo 1.MAO'!BI17</f>
        <v>0</v>
      </c>
      <c r="P54" s="502"/>
      <c r="Q54" s="760"/>
    </row>
    <row r="55" spans="6:26" x14ac:dyDescent="0.2">
      <c r="J55" s="499" t="str">
        <f t="shared" si="4"/>
        <v>2. CAMBIO CLIMATICO Y GESTION DEL RIESGO</v>
      </c>
      <c r="K55" s="1375">
        <v>10</v>
      </c>
      <c r="L55" s="500">
        <f t="shared" si="5"/>
        <v>2.2860902777777783</v>
      </c>
      <c r="M55" s="500">
        <f t="shared" si="3"/>
        <v>22.860902777777785</v>
      </c>
      <c r="N55" s="500">
        <f t="shared" si="1"/>
        <v>41.495089285714286</v>
      </c>
      <c r="O55" s="500">
        <f>+'Anexo 1.MAO'!BI20</f>
        <v>59.12323126456954</v>
      </c>
      <c r="P55" s="500">
        <f>+'Anexo 1.MAO'!BA20</f>
        <v>60.239173441154229</v>
      </c>
      <c r="Q55" s="759">
        <f>+'Anexo 1.MAO'!BC20</f>
        <v>60.160464777994413</v>
      </c>
    </row>
    <row r="56" spans="6:26" x14ac:dyDescent="0.2">
      <c r="J56" s="501" t="str">
        <f t="shared" si="4"/>
        <v xml:space="preserve">2.1 Gestión ambiental del riesgo </v>
      </c>
      <c r="K56" s="1376">
        <v>25</v>
      </c>
      <c r="L56" s="502">
        <f t="shared" si="5"/>
        <v>2.4486111111111111</v>
      </c>
      <c r="M56" s="502">
        <f t="shared" si="3"/>
        <v>9.7944444444444443</v>
      </c>
      <c r="N56" s="502">
        <f t="shared" si="1"/>
        <v>36</v>
      </c>
      <c r="O56" s="502">
        <f>+'Anexo 1.MAO'!BI21</f>
        <v>40.01734720203374</v>
      </c>
      <c r="P56" s="502">
        <f>+'Anexo 1.MAO'!BA21</f>
        <v>28.545299894423355</v>
      </c>
      <c r="Q56" s="760">
        <f>+'Anexo 1.MAO'!BC21</f>
        <v>28.545299894423355</v>
      </c>
    </row>
    <row r="57" spans="6:26" s="119" customFormat="1" ht="24" x14ac:dyDescent="0.2">
      <c r="F57" s="431"/>
      <c r="J57" s="501" t="str">
        <f t="shared" si="4"/>
        <v xml:space="preserve">2.2 Asesoría, evaluación y seguimiento de asuntos ambientales en los procesos de planeación y ordenamiento de los entes territoriales. </v>
      </c>
      <c r="K57" s="1376">
        <v>25</v>
      </c>
      <c r="L57" s="502">
        <f t="shared" si="5"/>
        <v>13.334166666666668</v>
      </c>
      <c r="M57" s="502">
        <f t="shared" si="3"/>
        <v>53.336666666666673</v>
      </c>
      <c r="N57" s="502">
        <f t="shared" si="1"/>
        <v>53.337500000000006</v>
      </c>
      <c r="O57" s="502">
        <f>+'Anexo 1.MAO'!BI28</f>
        <v>59.537537972890156</v>
      </c>
      <c r="P57" s="502">
        <f>+'Anexo 1.MAO'!BA28</f>
        <v>88.568671499999994</v>
      </c>
      <c r="Q57" s="760">
        <f>+'Anexo 1.MAO'!BC28</f>
        <v>88.26500750000001</v>
      </c>
      <c r="R57"/>
      <c r="S57"/>
      <c r="U57" s="736"/>
      <c r="V57" s="736"/>
      <c r="Y57" s="439"/>
      <c r="Z57" s="439"/>
    </row>
    <row r="58" spans="6:26" x14ac:dyDescent="0.2">
      <c r="J58" s="501" t="str">
        <f t="shared" si="4"/>
        <v>2.3 Gestión de estrategias de adaptación al cambio climático</v>
      </c>
      <c r="K58" s="1376">
        <v>25</v>
      </c>
      <c r="L58" s="502">
        <f t="shared" si="5"/>
        <v>0</v>
      </c>
      <c r="M58" s="502">
        <f t="shared" si="3"/>
        <v>0</v>
      </c>
      <c r="N58" s="502">
        <f t="shared" si="1"/>
        <v>30</v>
      </c>
      <c r="O58" s="502">
        <f>+'Anexo 1.MAO'!BI34</f>
        <v>80.379806667559777</v>
      </c>
      <c r="P58" s="502">
        <f>+'Anexo 1.MAO'!BA34</f>
        <v>55.865847152847145</v>
      </c>
      <c r="Q58" s="760">
        <f>+'Anexo 1.MAO'!BC34</f>
        <v>55.865847152847145</v>
      </c>
    </row>
    <row r="59" spans="6:26" ht="25.9" customHeight="1" x14ac:dyDescent="0.2">
      <c r="J59" s="501" t="str">
        <f>+'Anexo 1.MAO'!J39</f>
        <v>2.4 Monitoreo y generación de lineamientos para el manejo de la calidad del aire</v>
      </c>
      <c r="K59" s="1376">
        <v>25</v>
      </c>
      <c r="L59" s="502">
        <f t="shared" si="5"/>
        <v>7.078125</v>
      </c>
      <c r="M59" s="502">
        <f t="shared" si="3"/>
        <v>28.3125</v>
      </c>
      <c r="N59" s="502">
        <f t="shared" si="1"/>
        <v>46.642857142857146</v>
      </c>
      <c r="O59" s="502">
        <f>+'Anexo 1.MAO'!BI39</f>
        <v>54.554375080365183</v>
      </c>
      <c r="P59" s="502">
        <f>+'Anexo 1.MAO'!BA39</f>
        <v>67.399664070081585</v>
      </c>
      <c r="Q59" s="760">
        <f>+'Anexo 1.MAO'!BC39</f>
        <v>67.399664070081585</v>
      </c>
    </row>
    <row r="60" spans="6:26" x14ac:dyDescent="0.2">
      <c r="J60" s="499" t="str">
        <f t="shared" si="4"/>
        <v>3. GESTION DEL RECURSO HIDRICO</v>
      </c>
      <c r="K60" s="1375">
        <v>15</v>
      </c>
      <c r="L60" s="500">
        <f t="shared" si="5"/>
        <v>5.3153479071428569</v>
      </c>
      <c r="M60" s="500">
        <f t="shared" si="3"/>
        <v>35.435652714285716</v>
      </c>
      <c r="N60" s="500">
        <f t="shared" si="1"/>
        <v>37.828433333333329</v>
      </c>
      <c r="O60" s="500">
        <f>+'Anexo 1.MAO'!BI47</f>
        <v>20.474139833490998</v>
      </c>
      <c r="P60" s="500">
        <f>+'Anexo 1.MAO'!BA47</f>
        <v>35.714277947013059</v>
      </c>
      <c r="Q60" s="759">
        <f>+'Anexo 1.MAO'!BC47</f>
        <v>34.519174582386036</v>
      </c>
    </row>
    <row r="61" spans="6:26" ht="24" x14ac:dyDescent="0.2">
      <c r="J61" s="501" t="str">
        <f t="shared" si="4"/>
        <v>3.1 Implementación de acciones de conservación y restauración en el marco de la ordenación de las cuencas priorizadas</v>
      </c>
      <c r="K61" s="1376">
        <v>30</v>
      </c>
      <c r="L61" s="502">
        <f t="shared" si="5"/>
        <v>9.0699527142857157</v>
      </c>
      <c r="M61" s="502">
        <f t="shared" si="3"/>
        <v>30.233175714285718</v>
      </c>
      <c r="N61" s="502">
        <f t="shared" si="1"/>
        <v>33.361666666666665</v>
      </c>
      <c r="O61" s="502">
        <f>+'Anexo 1.MAO'!BI48</f>
        <v>37.595078398567765</v>
      </c>
      <c r="P61" s="502">
        <f>+'Anexo 1.MAO'!BA48</f>
        <v>36.91789293692171</v>
      </c>
      <c r="Q61" s="760">
        <f>+'Anexo 1.MAO'!BC48</f>
        <v>35.475691020799616</v>
      </c>
    </row>
    <row r="62" spans="6:26" ht="24" x14ac:dyDescent="0.2">
      <c r="J62" s="501" t="str">
        <f t="shared" si="4"/>
        <v xml:space="preserve">3.2 Implementación de acciones de descontaminación en corrientes hídricas superficiales priorizadas </v>
      </c>
      <c r="K62" s="1376">
        <v>10</v>
      </c>
      <c r="L62" s="502">
        <f t="shared" si="5"/>
        <v>0</v>
      </c>
      <c r="M62" s="502">
        <f t="shared" si="3"/>
        <v>0</v>
      </c>
      <c r="N62" s="502">
        <f t="shared" si="1"/>
        <v>20</v>
      </c>
      <c r="O62" s="502">
        <f>+'Anexo 1.MAO'!BI57</f>
        <v>0</v>
      </c>
      <c r="P62" s="502">
        <f>+'Anexo 1.MAO'!BA57</f>
        <v>0</v>
      </c>
      <c r="Q62" s="760">
        <f>+'Anexo 1.MAO'!BC57</f>
        <v>0</v>
      </c>
    </row>
    <row r="63" spans="6:26" ht="24" x14ac:dyDescent="0.2">
      <c r="J63" s="501" t="str">
        <f t="shared" si="4"/>
        <v>3.3 Administracion y Seguimiento del Programa de Tasas Retributivas por Vertimientos Puntuales</v>
      </c>
      <c r="K63" s="1376">
        <v>20</v>
      </c>
      <c r="L63" s="502">
        <f t="shared" si="5"/>
        <v>14.215199999999999</v>
      </c>
      <c r="M63" s="502">
        <f t="shared" si="3"/>
        <v>71.075999999999993</v>
      </c>
      <c r="N63" s="502">
        <f t="shared" si="1"/>
        <v>75.027999999999992</v>
      </c>
      <c r="O63" s="502">
        <f>+'Anexo 1.MAO'!BI62</f>
        <v>61.836198240801174</v>
      </c>
      <c r="P63" s="502">
        <f>+'Anexo 1.MAO'!BA62</f>
        <v>68.427389765257416</v>
      </c>
      <c r="Q63" s="760">
        <f>+'Anexo 1.MAO'!BC62</f>
        <v>68.427389765257416</v>
      </c>
    </row>
    <row r="64" spans="6:26" ht="24" x14ac:dyDescent="0.2">
      <c r="J64" s="501" t="str">
        <f t="shared" si="4"/>
        <v xml:space="preserve">3.4 Administración, monitoreo y seguimiento al uso y aprovechamiento del recurso hídrico </v>
      </c>
      <c r="K64" s="1376">
        <v>20</v>
      </c>
      <c r="L64" s="502">
        <f t="shared" si="5"/>
        <v>8.0945</v>
      </c>
      <c r="M64" s="502">
        <f t="shared" si="3"/>
        <v>40.472500000000004</v>
      </c>
      <c r="N64" s="502">
        <f t="shared" si="1"/>
        <v>40.472499999999997</v>
      </c>
      <c r="O64" s="502">
        <f>+'Anexo 1.MAO'!BI70</f>
        <v>72.613254955238332</v>
      </c>
      <c r="P64" s="502">
        <f>+'Anexo 1.MAO'!BA70</f>
        <v>40.773454857143854</v>
      </c>
      <c r="Q64" s="760">
        <f>+'Anexo 1.MAO'!BC70</f>
        <v>40.773454857143854</v>
      </c>
    </row>
    <row r="65" spans="10:17" ht="36" x14ac:dyDescent="0.2">
      <c r="J65" s="501" t="str">
        <f t="shared" si="4"/>
        <v>3.5 Implementación de acciones de protección, recuperación o monitoreo del recurso hídrico en cuencas, a partir de los POMCAS o de los instrumentos de planificación de la Corporación (Art. 216 Ley 1450/11 TUA)</v>
      </c>
      <c r="K65" s="1376">
        <v>20</v>
      </c>
      <c r="L65" s="502">
        <f t="shared" si="5"/>
        <v>4.056</v>
      </c>
      <c r="M65" s="502">
        <f t="shared" si="3"/>
        <v>20.28</v>
      </c>
      <c r="N65" s="502">
        <f t="shared" si="1"/>
        <v>20.28</v>
      </c>
      <c r="O65" s="502">
        <f>+'Anexo 1.MAO'!BI75</f>
        <v>96.49563337505505</v>
      </c>
      <c r="P65" s="502">
        <f>+'Anexo 1.MAO'!BA75</f>
        <v>55.826894750004151</v>
      </c>
      <c r="Q65" s="760">
        <f>+'Anexo 1.MAO'!BC75</f>
        <v>55.826894750004151</v>
      </c>
    </row>
    <row r="66" spans="10:17" ht="24" x14ac:dyDescent="0.2">
      <c r="J66" s="499" t="str">
        <f t="shared" si="4"/>
        <v>4. GESTION INTEGRAL DE LA BIODIVERSIDAD Y SUS SERVICIOS ECOSISTEMICOS</v>
      </c>
      <c r="K66" s="1375">
        <v>15</v>
      </c>
      <c r="L66" s="500">
        <f t="shared" si="5"/>
        <v>0.17499999999999996</v>
      </c>
      <c r="M66" s="500">
        <f t="shared" si="3"/>
        <v>1.1666666666666665</v>
      </c>
      <c r="N66" s="500">
        <f t="shared" si="1"/>
        <v>48.208333333333336</v>
      </c>
      <c r="O66" s="500">
        <f>+'Anexo 1.MAO'!BI77</f>
        <v>44.53489354269378</v>
      </c>
      <c r="P66" s="500">
        <f>+'Anexo 1.MAO'!BA77</f>
        <v>32.782356847990506</v>
      </c>
      <c r="Q66" s="759">
        <f>+'Anexo 1.MAO'!BC77</f>
        <v>31.71745379705667</v>
      </c>
    </row>
    <row r="67" spans="10:17" x14ac:dyDescent="0.2">
      <c r="J67" s="501" t="str">
        <f t="shared" si="4"/>
        <v>4.1 Conocimiento de la biodiversidad y de los servicios ecosistémicos</v>
      </c>
      <c r="K67" s="1376">
        <v>35</v>
      </c>
      <c r="L67" s="502">
        <f t="shared" si="5"/>
        <v>1.1666666666666665</v>
      </c>
      <c r="M67" s="502">
        <f t="shared" si="3"/>
        <v>3.333333333333333</v>
      </c>
      <c r="N67" s="502">
        <f t="shared" si="1"/>
        <v>64</v>
      </c>
      <c r="O67" s="502">
        <f>+'Anexo 1.MAO'!BI78</f>
        <v>46.434628597700708</v>
      </c>
      <c r="P67" s="502">
        <f>+'Anexo 1.MAO'!BA78</f>
        <v>54.101286846360232</v>
      </c>
      <c r="Q67" s="760">
        <f>+'Anexo 1.MAO'!BC78</f>
        <v>51.132702155256659</v>
      </c>
    </row>
    <row r="68" spans="10:17" x14ac:dyDescent="0.2">
      <c r="J68" s="501" t="str">
        <f t="shared" si="4"/>
        <v>4.2 Usos de la biodiversidad y sus servicios ecosistémicos</v>
      </c>
      <c r="K68" s="1376">
        <v>30</v>
      </c>
      <c r="L68" s="502">
        <f t="shared" si="5"/>
        <v>0</v>
      </c>
      <c r="M68" s="502">
        <f t="shared" si="3"/>
        <v>0</v>
      </c>
      <c r="N68" s="502">
        <f t="shared" si="1"/>
        <v>27.5</v>
      </c>
      <c r="O68" s="502">
        <f>+'Anexo 1.MAO'!BI87</f>
        <v>15.192219492097736</v>
      </c>
      <c r="P68" s="502">
        <f>+'Anexo 1.MAO'!BA87</f>
        <v>1.7828799582463319</v>
      </c>
      <c r="Q68" s="760">
        <f>+'Anexo 1.MAO'!BC87</f>
        <v>1.7828799582463319</v>
      </c>
    </row>
    <row r="69" spans="10:17" x14ac:dyDescent="0.2">
      <c r="J69" s="501" t="str">
        <f t="shared" si="4"/>
        <v>4.3 Conservación de la biodiversidad y sus servicios ecosistémicos</v>
      </c>
      <c r="K69" s="1376">
        <v>35</v>
      </c>
      <c r="L69" s="502">
        <f t="shared" si="5"/>
        <v>0</v>
      </c>
      <c r="M69" s="502">
        <f t="shared" si="3"/>
        <v>0</v>
      </c>
      <c r="N69" s="502">
        <f t="shared" si="1"/>
        <v>53.125</v>
      </c>
      <c r="O69" s="502">
        <f>+'Anexo 1.MAO'!BI94</f>
        <v>62.873152854156679</v>
      </c>
      <c r="P69" s="502">
        <f>+'Anexo 1.MAO'!BA94</f>
        <v>55.696765519033839</v>
      </c>
      <c r="Q69" s="760">
        <f>+'Anexo 1.MAO'!BC94</f>
        <v>54.863834157739788</v>
      </c>
    </row>
    <row r="70" spans="10:17" ht="24" x14ac:dyDescent="0.2">
      <c r="J70" s="499" t="str">
        <f t="shared" si="4"/>
        <v>5. GOBERNANZA EN EL USO Y APROVECHAMIENTO DE LOS RECURSOS NATURALES Y EL AMBIENTE</v>
      </c>
      <c r="K70" s="1375">
        <v>15</v>
      </c>
      <c r="L70" s="500">
        <f t="shared" si="5"/>
        <v>8.7807084764697674</v>
      </c>
      <c r="M70" s="500">
        <f t="shared" si="3"/>
        <v>58.538056509798452</v>
      </c>
      <c r="N70" s="500">
        <f t="shared" si="1"/>
        <v>63.110416666666666</v>
      </c>
      <c r="O70" s="500">
        <f>+'Anexo 1.MAO'!BI106</f>
        <v>44.57062391294653</v>
      </c>
      <c r="P70" s="500">
        <f>+'Anexo 1.MAO'!BA105</f>
        <v>75.601214236161752</v>
      </c>
      <c r="Q70" s="759">
        <f>+'Anexo 1.MAO'!BC105</f>
        <v>75.601214236161752</v>
      </c>
    </row>
    <row r="71" spans="10:17" x14ac:dyDescent="0.2">
      <c r="J71" s="501" t="str">
        <f t="shared" si="4"/>
        <v>5.1 Control y seguimiento a la gestión de residuos sólidos</v>
      </c>
      <c r="K71" s="1376">
        <v>20</v>
      </c>
      <c r="L71" s="502">
        <f t="shared" si="5"/>
        <v>7.7319006656426019</v>
      </c>
      <c r="M71" s="502">
        <f t="shared" si="3"/>
        <v>38.659503328213006</v>
      </c>
      <c r="N71" s="502">
        <f t="shared" si="1"/>
        <v>39.091666666666669</v>
      </c>
      <c r="O71" s="502">
        <f>+'Anexo 1.MAO'!BI106</f>
        <v>44.57062391294653</v>
      </c>
      <c r="P71" s="502">
        <f>+'Anexo 1.MAO'!BA106</f>
        <v>34.272396889063209</v>
      </c>
      <c r="Q71" s="760">
        <f>+'Anexo 1.MAO'!BC106</f>
        <v>34.272396889063209</v>
      </c>
    </row>
    <row r="72" spans="10:17" ht="24" x14ac:dyDescent="0.2">
      <c r="J72" s="501" t="str">
        <f t="shared" si="4"/>
        <v>5.2 Evaluación y seguimiento de Planes de Contingencia de Estaciones de Servicio</v>
      </c>
      <c r="K72" s="1376">
        <v>20</v>
      </c>
      <c r="L72" s="502">
        <f t="shared" si="5"/>
        <v>14.531999999999998</v>
      </c>
      <c r="M72" s="502">
        <f t="shared" si="3"/>
        <v>72.66</v>
      </c>
      <c r="N72" s="502">
        <f t="shared" si="1"/>
        <v>72.66</v>
      </c>
      <c r="O72" s="502">
        <f>+'Anexo 1.MAO'!BI113</f>
        <v>63.470667326732681</v>
      </c>
      <c r="P72" s="502">
        <f>+'Anexo 1.MAO'!BA113</f>
        <v>68.271598571428569</v>
      </c>
      <c r="Q72" s="760">
        <f>+'Anexo 1.MAO'!BC113</f>
        <v>68.271598571428569</v>
      </c>
    </row>
    <row r="73" spans="10:17" ht="24" x14ac:dyDescent="0.2">
      <c r="J73" s="501" t="str">
        <f t="shared" si="4"/>
        <v>5.3 Fortalecimiento de la Autoridad Ambiental Proceso Licencias, Permisos y Autorizaciones Ambientales</v>
      </c>
      <c r="K73" s="1376">
        <v>40</v>
      </c>
      <c r="L73" s="502">
        <f t="shared" si="5"/>
        <v>16.274155844155846</v>
      </c>
      <c r="M73" s="502">
        <f t="shared" si="3"/>
        <v>40.685389610389613</v>
      </c>
      <c r="N73" s="502">
        <f t="shared" si="1"/>
        <v>40.69</v>
      </c>
      <c r="O73" s="502">
        <f>+'Anexo 1.MAO'!BI115</f>
        <v>39.560203517229745</v>
      </c>
      <c r="P73" s="502">
        <f>+'Anexo 1.MAO'!BA115</f>
        <v>77.102742579217889</v>
      </c>
      <c r="Q73" s="760">
        <f>+'Anexo 1.MAO'!BC115</f>
        <v>77.102742579217889</v>
      </c>
    </row>
    <row r="74" spans="10:17" ht="24" x14ac:dyDescent="0.2">
      <c r="J74" s="501" t="str">
        <f t="shared" si="4"/>
        <v>5.4 Fortalecimiento de la Autoridad Ambiental Proceso Ordenación y Manejo de los Recursos Naturales</v>
      </c>
      <c r="K74" s="1376">
        <v>20</v>
      </c>
      <c r="L74" s="502">
        <f t="shared" si="5"/>
        <v>20</v>
      </c>
      <c r="M74" s="502">
        <f t="shared" si="3"/>
        <v>100</v>
      </c>
      <c r="N74" s="502">
        <f t="shared" si="1"/>
        <v>100</v>
      </c>
      <c r="O74" s="502">
        <f>+'Anexo 1.MAO'!BI131</f>
        <v>47.042628336344094</v>
      </c>
      <c r="P74" s="502">
        <f>+'Anexo 1.MAO'!BA131</f>
        <v>80.237185465347721</v>
      </c>
      <c r="Q74" s="760">
        <f>+'Anexo 1.MAO'!BC131</f>
        <v>80.237185465347721</v>
      </c>
    </row>
    <row r="75" spans="10:17" ht="24" x14ac:dyDescent="0.2">
      <c r="J75" s="499" t="str">
        <f t="shared" si="4"/>
        <v>6. DESARROLLO INSTITUCIONAL Y FORTALECIMIENTO A LA GESTION POR PROCESOS</v>
      </c>
      <c r="K75" s="1375">
        <v>10</v>
      </c>
      <c r="L75" s="500">
        <f t="shared" si="5"/>
        <v>1.8543322162804514</v>
      </c>
      <c r="M75" s="500">
        <f t="shared" si="3"/>
        <v>18.543322162804515</v>
      </c>
      <c r="N75" s="500">
        <f t="shared" si="1"/>
        <v>37.869629629629635</v>
      </c>
      <c r="O75" s="500">
        <f>+'Anexo 1.MAO'!BI133</f>
        <v>47.163747396237518</v>
      </c>
      <c r="P75" s="500">
        <f>+'Anexo 1.MAO'!BA133</f>
        <v>45.929723574340194</v>
      </c>
      <c r="Q75" s="759">
        <f>+'Anexo 1.MAO'!BC133</f>
        <v>45.421321103290303</v>
      </c>
    </row>
    <row r="76" spans="10:17" x14ac:dyDescent="0.2">
      <c r="J76" s="501" t="str">
        <f t="shared" si="4"/>
        <v xml:space="preserve">6.1 Planeación institucional para la Gestión Ambiental </v>
      </c>
      <c r="K76" s="1376">
        <v>20</v>
      </c>
      <c r="L76" s="502">
        <f t="shared" si="5"/>
        <v>4.5</v>
      </c>
      <c r="M76" s="502">
        <f t="shared" si="3"/>
        <v>22.5</v>
      </c>
      <c r="N76" s="502">
        <f t="shared" si="1"/>
        <v>62.5</v>
      </c>
      <c r="O76" s="502">
        <f>+'Anexo 1.MAO'!BI134</f>
        <v>70.279366555325922</v>
      </c>
      <c r="P76" s="502">
        <f>+'Anexo 1.MAO'!BA134</f>
        <v>77.644396666666665</v>
      </c>
      <c r="Q76" s="760">
        <f>+'Anexo 1.MAO'!BC134</f>
        <v>77.644396666666665</v>
      </c>
    </row>
    <row r="77" spans="10:17" ht="24" x14ac:dyDescent="0.2">
      <c r="J77" s="501" t="str">
        <f t="shared" si="4"/>
        <v>6.2 Fortalecimiento del Sistema de Gestión Institucional articulado con el MECI</v>
      </c>
      <c r="K77" s="1376">
        <v>20</v>
      </c>
      <c r="L77" s="502">
        <f t="shared" si="5"/>
        <v>0</v>
      </c>
      <c r="M77" s="502">
        <f t="shared" si="3"/>
        <v>0</v>
      </c>
      <c r="N77" s="502">
        <f t="shared" si="1"/>
        <v>50</v>
      </c>
      <c r="O77" s="502">
        <f>+'Anexo 1.MAO'!BI140</f>
        <v>33.448645483838298</v>
      </c>
      <c r="P77" s="502">
        <f>+'Anexo 1.MAO'!BA140</f>
        <v>28.06196168163736</v>
      </c>
      <c r="Q77" s="760">
        <f>+'Anexo 1.MAO'!BC140</f>
        <v>26.58891276144703</v>
      </c>
    </row>
    <row r="78" spans="10:17" x14ac:dyDescent="0.2">
      <c r="J78" s="501" t="str">
        <f t="shared" si="4"/>
        <v>6.3 Mejoramiento de las rentas y gestión por proyecto</v>
      </c>
      <c r="K78" s="1376">
        <v>8</v>
      </c>
      <c r="L78" s="502">
        <f t="shared" si="5"/>
        <v>1.8629019607843136</v>
      </c>
      <c r="M78" s="502">
        <f t="shared" si="3"/>
        <v>23.286274509803921</v>
      </c>
      <c r="N78" s="502">
        <f t="shared" si="1"/>
        <v>38.96</v>
      </c>
      <c r="O78" s="502">
        <f>+'Anexo 1.MAO'!BI144</f>
        <v>83.529195145623945</v>
      </c>
      <c r="P78" s="502">
        <f>+'Anexo 1.MAO'!BA144</f>
        <v>86.584806901967838</v>
      </c>
      <c r="Q78" s="760">
        <f>+'Anexo 1.MAO'!BC144</f>
        <v>86.584806901967838</v>
      </c>
    </row>
    <row r="79" spans="10:17" x14ac:dyDescent="0.2">
      <c r="J79" s="501" t="str">
        <f t="shared" si="4"/>
        <v>6.4 Fortalecimiento del proceso misional Gestión Jurídica</v>
      </c>
      <c r="K79" s="1376">
        <v>8</v>
      </c>
      <c r="L79" s="502">
        <f t="shared" si="5"/>
        <v>2.689511111111111</v>
      </c>
      <c r="M79" s="502">
        <f t="shared" si="3"/>
        <v>33.61888888888889</v>
      </c>
      <c r="N79" s="502">
        <f t="shared" si="1"/>
        <v>61.366666666666667</v>
      </c>
      <c r="O79" s="502">
        <f>+'Anexo 1.MAO'!BI148</f>
        <v>87.902798040341281</v>
      </c>
      <c r="P79" s="502">
        <f>+'Anexo 1.MAO'!BA148</f>
        <v>97.214918747613567</v>
      </c>
      <c r="Q79" s="760">
        <f>+'Anexo 1.MAO'!BC148</f>
        <v>97.214918747613567</v>
      </c>
    </row>
    <row r="80" spans="10:17" ht="24" x14ac:dyDescent="0.2">
      <c r="J80" s="501" t="str">
        <f t="shared" si="4"/>
        <v>6.5 Apoyo a la actualización y/o conservación catastral municipios priorizados</v>
      </c>
      <c r="K80" s="1376">
        <v>2</v>
      </c>
      <c r="L80" s="502">
        <f t="shared" si="5"/>
        <v>0</v>
      </c>
      <c r="M80" s="502">
        <f t="shared" si="3"/>
        <v>0</v>
      </c>
      <c r="N80" s="502">
        <f t="shared" si="1"/>
        <v>0</v>
      </c>
      <c r="O80" s="502">
        <f>+'Anexo 1.MAO'!BI152</f>
        <v>0</v>
      </c>
      <c r="P80" s="502">
        <f>+'Anexo 1.MAO'!BA152</f>
        <v>0</v>
      </c>
      <c r="Q80" s="760">
        <f>+'Anexo 1.MAO'!BC152</f>
        <v>0</v>
      </c>
    </row>
    <row r="81" spans="10:17" ht="24" x14ac:dyDescent="0.2">
      <c r="J81" s="501" t="str">
        <f t="shared" ref="J81:J89" si="6">+F37</f>
        <v>6.6 Operación y administración de los Sistemas de Información de la Corporación (Ambiental y administrativo)</v>
      </c>
      <c r="K81" s="1376">
        <v>10</v>
      </c>
      <c r="L81" s="502">
        <f>+'Anexo 1.MAO'!AD154</f>
        <v>2.5</v>
      </c>
      <c r="M81" s="502">
        <f t="shared" si="3"/>
        <v>25</v>
      </c>
      <c r="N81" s="502">
        <f t="shared" si="1"/>
        <v>50</v>
      </c>
      <c r="O81" s="502">
        <f>+'Anexo 1.MAO'!BI154</f>
        <v>61.427052261091085</v>
      </c>
      <c r="P81" s="502">
        <f>+'Anexo 1.MAO'!BA154</f>
        <v>38.609316551724135</v>
      </c>
      <c r="Q81" s="760">
        <f>+'Anexo 1.MAO'!BC154</f>
        <v>38.609316551724135</v>
      </c>
    </row>
    <row r="82" spans="10:17" x14ac:dyDescent="0.2">
      <c r="J82" s="501" t="str">
        <f t="shared" si="6"/>
        <v>6.7 Seguimiento y evaluación del SGI y MECI</v>
      </c>
      <c r="K82" s="1376">
        <v>12</v>
      </c>
      <c r="L82" s="502">
        <f t="shared" ref="L82:L89" si="7">+G38</f>
        <v>1.9909090909090912</v>
      </c>
      <c r="M82" s="502">
        <f t="shared" si="3"/>
        <v>16.590909090909093</v>
      </c>
      <c r="N82" s="502">
        <f t="shared" si="1"/>
        <v>28</v>
      </c>
      <c r="O82" s="502">
        <f>+'Anexo 1.MAO'!BI157</f>
        <v>41.781334686156271</v>
      </c>
      <c r="P82" s="502">
        <f>+'Anexo 1.MAO'!BA157</f>
        <v>77.837195000000008</v>
      </c>
      <c r="Q82" s="760">
        <f>+'Anexo 1.MAO'!BC157</f>
        <v>72.481569999999991</v>
      </c>
    </row>
    <row r="83" spans="10:17" ht="24" x14ac:dyDescent="0.2">
      <c r="J83" s="501" t="str">
        <f t="shared" si="6"/>
        <v>6.8 Mantenimiento, operación y mejora del laboratorio de calidad ambiental bajo la norma NTC ISO/IEC 17025</v>
      </c>
      <c r="K83" s="1376">
        <v>10</v>
      </c>
      <c r="L83" s="502">
        <f t="shared" si="7"/>
        <v>5</v>
      </c>
      <c r="M83" s="502">
        <f t="shared" si="3"/>
        <v>50</v>
      </c>
      <c r="N83" s="502">
        <f t="shared" si="1"/>
        <v>50</v>
      </c>
      <c r="O83" s="502">
        <f>+'Anexo 1.MAO'!BI162</f>
        <v>40.645765697355799</v>
      </c>
      <c r="P83" s="502">
        <f>+'Anexo 1.MAO'!BA162</f>
        <v>23.19416262295082</v>
      </c>
      <c r="Q83" s="760">
        <f>+'Anexo 1.MAO'!BC162</f>
        <v>23.19416262295082</v>
      </c>
    </row>
    <row r="84" spans="10:17" ht="24" x14ac:dyDescent="0.2">
      <c r="J84" s="501" t="str">
        <f t="shared" si="6"/>
        <v>6.9 Fortalecimiento de la capacidad institucional para el cumplimiento de la Misión corporativa</v>
      </c>
      <c r="K84" s="1376">
        <v>10</v>
      </c>
      <c r="L84" s="502">
        <f t="shared" si="7"/>
        <v>0</v>
      </c>
      <c r="M84" s="502">
        <f t="shared" si="3"/>
        <v>0</v>
      </c>
      <c r="N84" s="502">
        <f t="shared" si="1"/>
        <v>0</v>
      </c>
      <c r="O84" s="502">
        <f>+'Anexo 1.MAO'!BI166</f>
        <v>0</v>
      </c>
      <c r="P84" s="502"/>
      <c r="Q84" s="760"/>
    </row>
    <row r="85" spans="10:17" ht="24" x14ac:dyDescent="0.2">
      <c r="J85" s="499" t="str">
        <f t="shared" si="6"/>
        <v>7. FOMENTO A LA PRODUCCION Y CONSUMO SOSTENIBLE EN LOS SECTORES PRODUCTIVOS</v>
      </c>
      <c r="K85" s="1375">
        <v>10</v>
      </c>
      <c r="L85" s="500">
        <f t="shared" si="7"/>
        <v>1.862857142857143</v>
      </c>
      <c r="M85" s="500">
        <f t="shared" si="3"/>
        <v>18.62857142857143</v>
      </c>
      <c r="N85" s="500">
        <f t="shared" si="1"/>
        <v>25.186250000000001</v>
      </c>
      <c r="O85" s="500">
        <f>+'Anexo 1.MAO'!BI170</f>
        <v>62.96138203217663</v>
      </c>
      <c r="P85" s="500">
        <f>+'Anexo 1.MAO'!BA170</f>
        <v>81.746380787469633</v>
      </c>
      <c r="Q85" s="759">
        <f>+'Anexo 1.MAO'!BC170</f>
        <v>81.746380787469633</v>
      </c>
    </row>
    <row r="86" spans="10:17" ht="24" x14ac:dyDescent="0.2">
      <c r="J86" s="501" t="str">
        <f t="shared" si="6"/>
        <v>7.1 Implementación de acciones priorizadas para el fomento de la producción y consumo sostenible</v>
      </c>
      <c r="K86" s="1376">
        <v>50</v>
      </c>
      <c r="L86" s="502">
        <f t="shared" si="7"/>
        <v>13.033333333333333</v>
      </c>
      <c r="M86" s="516">
        <f t="shared" si="3"/>
        <v>26.066666666666666</v>
      </c>
      <c r="N86" s="502">
        <f t="shared" si="1"/>
        <v>25.4</v>
      </c>
      <c r="O86" s="516">
        <f>+'Anexo 1.MAO'!BI171</f>
        <v>57.852385251322744</v>
      </c>
      <c r="P86" s="516">
        <f>+'Anexo 1.MAO'!BA171</f>
        <v>90.642234836705569</v>
      </c>
      <c r="Q86" s="761">
        <f>+'Anexo 1.MAO'!BC171</f>
        <v>90.642234836705569</v>
      </c>
    </row>
    <row r="87" spans="10:17" x14ac:dyDescent="0.2">
      <c r="J87" s="501" t="str">
        <f t="shared" si="6"/>
        <v xml:space="preserve">7.2 Fomento de tecnologías limpias en la minería del oro </v>
      </c>
      <c r="K87" s="1376">
        <v>50</v>
      </c>
      <c r="L87" s="502">
        <f t="shared" si="7"/>
        <v>5.5952380952380967</v>
      </c>
      <c r="M87" s="502">
        <f t="shared" si="3"/>
        <v>11.190476190476193</v>
      </c>
      <c r="N87" s="502">
        <f t="shared" si="1"/>
        <v>24.9725</v>
      </c>
      <c r="O87" s="502">
        <f>+'Anexo 1.MAO'!BI178</f>
        <v>76.50306176854987</v>
      </c>
      <c r="P87" s="502">
        <f>+'Anexo 1.MAO'!BA178</f>
        <v>57.292759595393605</v>
      </c>
      <c r="Q87" s="760">
        <f>+'Anexo 1.MAO'!BC178</f>
        <v>57.292759595393605</v>
      </c>
    </row>
    <row r="88" spans="10:17" ht="24" x14ac:dyDescent="0.2">
      <c r="J88" s="499" t="str">
        <f t="shared" si="6"/>
        <v xml:space="preserve">8. EDUCACION AMBIENTAL, PARTICIPACION Y FORTALECIMIENTO ORGANIZACIONAL </v>
      </c>
      <c r="K88" s="1375">
        <v>15</v>
      </c>
      <c r="L88" s="500">
        <f t="shared" si="7"/>
        <v>2.7287399999999997</v>
      </c>
      <c r="M88" s="500">
        <f t="shared" si="3"/>
        <v>18.191599999999998</v>
      </c>
      <c r="N88" s="500">
        <f t="shared" si="1"/>
        <v>69.2</v>
      </c>
      <c r="O88" s="500">
        <f>+'Anexo 1.MAO'!BI183</f>
        <v>75.025644349263601</v>
      </c>
      <c r="P88" s="500">
        <f>+'Anexo 1.MAO'!BA183</f>
        <v>62.088792857142863</v>
      </c>
      <c r="Q88" s="759">
        <f>+'Anexo 1.MAO'!BC183</f>
        <v>55.590552691511384</v>
      </c>
    </row>
    <row r="89" spans="10:17" ht="24" x14ac:dyDescent="0.2">
      <c r="J89" s="501" t="str">
        <f t="shared" si="6"/>
        <v>8.1 Implementación de acciones de educación ambiental, participación  y fortalecimiento de organizaciones comunitarias, étnicas y ambientalistas</v>
      </c>
      <c r="K89" s="1376">
        <v>100</v>
      </c>
      <c r="L89" s="502">
        <f t="shared" si="7"/>
        <v>18.191599999999998</v>
      </c>
      <c r="M89" s="502">
        <f t="shared" si="3"/>
        <v>18.191599999999998</v>
      </c>
      <c r="N89" s="502">
        <f t="shared" si="1"/>
        <v>69.2</v>
      </c>
      <c r="O89" s="502">
        <f>+'Anexo 1.MAO'!BI184</f>
        <v>75.025644349263601</v>
      </c>
      <c r="P89" s="502">
        <f>+'Anexo 1.MAO'!BA184</f>
        <v>62.088792857142863</v>
      </c>
      <c r="Q89" s="760">
        <f>+'Anexo 1.MAO'!BC184</f>
        <v>55.590552691511384</v>
      </c>
    </row>
    <row r="90" spans="10:17" ht="18" x14ac:dyDescent="0.2">
      <c r="J90" s="503" t="s">
        <v>989</v>
      </c>
      <c r="K90" s="1377">
        <v>100</v>
      </c>
      <c r="L90" s="729">
        <f>+L50+L55+L60+L66+L70+L75+L85+L88</f>
        <v>25.726152943604919</v>
      </c>
      <c r="M90" s="729"/>
      <c r="N90" s="729">
        <f>+H46</f>
        <v>47.737269031084658</v>
      </c>
      <c r="O90" s="729">
        <f>+'Anexo 1.MAO'!BI193</f>
        <v>31.927991235392561</v>
      </c>
      <c r="P90" s="729">
        <f>+'Anexo 1.MAO'!BA193</f>
        <v>45.776129354613744</v>
      </c>
      <c r="Q90" s="762">
        <f>+'Anexo 1.MAO'!BC193</f>
        <v>44.415633213696914</v>
      </c>
    </row>
    <row r="91" spans="10:17" hidden="1" x14ac:dyDescent="0.2">
      <c r="J91" s="1765" t="s">
        <v>919</v>
      </c>
      <c r="K91" s="1765"/>
      <c r="L91" s="1765"/>
      <c r="M91" s="1765"/>
      <c r="N91" s="1765"/>
      <c r="O91" s="1765"/>
      <c r="P91" s="722"/>
      <c r="Q91" s="722"/>
    </row>
    <row r="92" spans="10:17" hidden="1" x14ac:dyDescent="0.2">
      <c r="J92" s="1760" t="s">
        <v>920</v>
      </c>
      <c r="K92" s="1760"/>
      <c r="L92" s="1760"/>
      <c r="M92" s="733"/>
      <c r="N92" s="1374"/>
      <c r="O92" s="432">
        <f>+O93</f>
        <v>0</v>
      </c>
      <c r="P92" s="723"/>
      <c r="Q92" s="723"/>
    </row>
    <row r="93" spans="10:17" hidden="1" x14ac:dyDescent="0.2">
      <c r="J93" s="1758" t="s">
        <v>917</v>
      </c>
      <c r="K93" s="1758"/>
      <c r="L93" s="1758"/>
      <c r="M93" s="731"/>
      <c r="N93" s="1372"/>
      <c r="O93" s="433"/>
      <c r="P93" s="724"/>
      <c r="Q93" s="724"/>
    </row>
    <row r="94" spans="10:17" hidden="1" x14ac:dyDescent="0.2">
      <c r="J94" s="1759" t="s">
        <v>921</v>
      </c>
      <c r="K94" s="1759"/>
      <c r="L94" s="1759"/>
      <c r="M94" s="732"/>
      <c r="N94" s="1373"/>
      <c r="O94" s="433"/>
      <c r="P94" s="724"/>
      <c r="Q94" s="724"/>
    </row>
    <row r="95" spans="10:17" hidden="1" x14ac:dyDescent="0.2">
      <c r="J95" s="1759" t="s">
        <v>922</v>
      </c>
      <c r="K95" s="1759"/>
      <c r="L95" s="1759"/>
      <c r="M95" s="732"/>
      <c r="N95" s="1373"/>
      <c r="O95" s="433"/>
      <c r="P95" s="724"/>
      <c r="Q95" s="724"/>
    </row>
    <row r="96" spans="10:17" hidden="1" x14ac:dyDescent="0.2">
      <c r="J96" s="1759" t="s">
        <v>923</v>
      </c>
      <c r="K96" s="1759"/>
      <c r="L96" s="1759"/>
      <c r="M96" s="732"/>
      <c r="N96" s="1373"/>
      <c r="O96" s="433"/>
      <c r="P96" s="724"/>
      <c r="Q96" s="724"/>
    </row>
    <row r="97" spans="10:23" hidden="1" x14ac:dyDescent="0.2">
      <c r="J97" s="1760" t="s">
        <v>924</v>
      </c>
      <c r="K97" s="1760"/>
      <c r="L97" s="1760"/>
      <c r="M97" s="733"/>
      <c r="N97" s="1374"/>
      <c r="O97" s="434"/>
      <c r="P97" s="725"/>
      <c r="Q97" s="725"/>
    </row>
    <row r="98" spans="10:23" hidden="1" x14ac:dyDescent="0.2">
      <c r="J98" s="1754" t="s">
        <v>925</v>
      </c>
      <c r="K98" s="1754"/>
      <c r="L98" s="1754"/>
      <c r="M98" s="730"/>
      <c r="N98" s="1371"/>
      <c r="O98" s="426">
        <f>+(O90+O97)/2</f>
        <v>15.963995617696281</v>
      </c>
      <c r="P98" s="726"/>
      <c r="Q98" s="726"/>
    </row>
    <row r="100" spans="10:23" ht="13.5" thickBot="1" x14ac:dyDescent="0.25"/>
    <row r="101" spans="10:23" ht="18.75" thickBot="1" x14ac:dyDescent="0.3">
      <c r="J101" s="1385"/>
      <c r="K101" s="1385"/>
      <c r="L101" s="1386"/>
      <c r="M101" s="1386"/>
      <c r="N101" s="1386"/>
      <c r="O101" s="1387"/>
      <c r="P101" s="1384">
        <f>+(L90+P90)/2</f>
        <v>35.75114114910933</v>
      </c>
      <c r="Q101" s="763">
        <f>+(L90+Q90)/2</f>
        <v>35.070893078650919</v>
      </c>
    </row>
    <row r="103" spans="10:23" ht="38.25" x14ac:dyDescent="0.25">
      <c r="O103" s="1378"/>
      <c r="R103" s="734" t="s">
        <v>1340</v>
      </c>
      <c r="S103" s="734"/>
      <c r="T103" s="734"/>
      <c r="U103" s="734"/>
      <c r="V103" s="734"/>
      <c r="W103" s="734"/>
    </row>
    <row r="104" spans="10:23" ht="70.5" customHeight="1" x14ac:dyDescent="0.2">
      <c r="R104" s="764" t="s">
        <v>987</v>
      </c>
      <c r="S104" s="764" t="s">
        <v>1339</v>
      </c>
      <c r="T104" s="765" t="str">
        <f>+L49</f>
        <v>% DE CUMPLIMIENTO FISICO POND</v>
      </c>
      <c r="U104" s="765" t="s">
        <v>1349</v>
      </c>
      <c r="V104" s="765" t="s">
        <v>1343</v>
      </c>
      <c r="W104" s="765" t="str">
        <f>+O49</f>
        <v xml:space="preserve">% DE AVANCE 
FINANCIERO 
</v>
      </c>
    </row>
    <row r="105" spans="10:23" ht="25.5" x14ac:dyDescent="0.2">
      <c r="R105" s="767" t="str">
        <f>+J50</f>
        <v>1. PLANIFICACION AMBIENTAL ARTICULADA E INTEGRAL</v>
      </c>
      <c r="S105" s="1382">
        <f>+K50</f>
        <v>10</v>
      </c>
      <c r="T105" s="766">
        <f>+L50</f>
        <v>2.7230769230769232</v>
      </c>
      <c r="U105" s="766">
        <f>+T105*100/S105</f>
        <v>27.230769230769234</v>
      </c>
      <c r="V105" s="766">
        <f>+N50</f>
        <v>59</v>
      </c>
      <c r="W105" s="766">
        <f>+O50</f>
        <v>35.29939407033455</v>
      </c>
    </row>
    <row r="106" spans="10:23" ht="25.5" x14ac:dyDescent="0.2">
      <c r="R106" s="767" t="str">
        <f>+J55</f>
        <v>2. CAMBIO CLIMATICO Y GESTION DEL RIESGO</v>
      </c>
      <c r="S106" s="1382">
        <f>+K55</f>
        <v>10</v>
      </c>
      <c r="T106" s="766">
        <f>+L55</f>
        <v>2.2860902777777783</v>
      </c>
      <c r="U106" s="766">
        <f t="shared" ref="U106:U112" si="8">+T106*100/S106</f>
        <v>22.860902777777785</v>
      </c>
      <c r="V106" s="766">
        <f>+N55</f>
        <v>41.495089285714286</v>
      </c>
      <c r="W106" s="766">
        <f>+O55</f>
        <v>59.12323126456954</v>
      </c>
    </row>
    <row r="107" spans="10:23" x14ac:dyDescent="0.2">
      <c r="R107" s="767" t="str">
        <f>+'Tablas Resumen'!J60</f>
        <v>3. GESTION DEL RECURSO HIDRICO</v>
      </c>
      <c r="S107" s="1382">
        <f>+K60</f>
        <v>15</v>
      </c>
      <c r="T107" s="766">
        <f>+L60</f>
        <v>5.3153479071428569</v>
      </c>
      <c r="U107" s="766">
        <f t="shared" si="8"/>
        <v>35.435652714285716</v>
      </c>
      <c r="V107" s="766">
        <f>+N60</f>
        <v>37.828433333333329</v>
      </c>
      <c r="W107" s="766">
        <f>+O60</f>
        <v>20.474139833490998</v>
      </c>
    </row>
    <row r="108" spans="10:23" ht="38.25" x14ac:dyDescent="0.2">
      <c r="R108" s="767" t="str">
        <f>+J66</f>
        <v>4. GESTION INTEGRAL DE LA BIODIVERSIDAD Y SUS SERVICIOS ECOSISTEMICOS</v>
      </c>
      <c r="S108" s="1382">
        <f>+K66</f>
        <v>15</v>
      </c>
      <c r="T108" s="766">
        <f>+L66</f>
        <v>0.17499999999999996</v>
      </c>
      <c r="U108" s="766">
        <f t="shared" si="8"/>
        <v>1.1666666666666665</v>
      </c>
      <c r="V108" s="766">
        <f>+N66</f>
        <v>48.208333333333336</v>
      </c>
      <c r="W108" s="766">
        <f>+O66</f>
        <v>44.53489354269378</v>
      </c>
    </row>
    <row r="109" spans="10:23" ht="51" x14ac:dyDescent="0.2">
      <c r="R109" s="767" t="str">
        <f>+J70</f>
        <v>5. GOBERNANZA EN EL USO Y APROVECHAMIENTO DE LOS RECURSOS NATURALES Y EL AMBIENTE</v>
      </c>
      <c r="S109" s="1382">
        <f>+K70</f>
        <v>15</v>
      </c>
      <c r="T109" s="766">
        <f>+L70</f>
        <v>8.7807084764697674</v>
      </c>
      <c r="U109" s="766">
        <f t="shared" si="8"/>
        <v>58.538056509798452</v>
      </c>
      <c r="V109" s="766">
        <f>+N70</f>
        <v>63.110416666666666</v>
      </c>
      <c r="W109" s="766">
        <f>+O66</f>
        <v>44.53489354269378</v>
      </c>
    </row>
    <row r="110" spans="10:23" ht="38.25" x14ac:dyDescent="0.2">
      <c r="R110" s="767" t="str">
        <f>+J75</f>
        <v>6. DESARROLLO INSTITUCIONAL Y FORTALECIMIENTO A LA GESTION POR PROCESOS</v>
      </c>
      <c r="S110" s="1382">
        <f>+K75</f>
        <v>10</v>
      </c>
      <c r="T110" s="766">
        <f>+L75</f>
        <v>1.8543322162804514</v>
      </c>
      <c r="U110" s="766">
        <f t="shared" si="8"/>
        <v>18.543322162804515</v>
      </c>
      <c r="V110" s="766">
        <f>+N75</f>
        <v>37.869629629629635</v>
      </c>
      <c r="W110" s="766">
        <f>+O75</f>
        <v>47.163747396237518</v>
      </c>
    </row>
    <row r="111" spans="10:23" ht="38.25" x14ac:dyDescent="0.2">
      <c r="R111" s="767" t="str">
        <f>+J85</f>
        <v>7. FOMENTO A LA PRODUCCION Y CONSUMO SOSTENIBLE EN LOS SECTORES PRODUCTIVOS</v>
      </c>
      <c r="S111" s="1382">
        <f>+K85</f>
        <v>10</v>
      </c>
      <c r="T111" s="766">
        <f>+L85</f>
        <v>1.862857142857143</v>
      </c>
      <c r="U111" s="766">
        <f t="shared" si="8"/>
        <v>18.62857142857143</v>
      </c>
      <c r="V111" s="766">
        <f>+N85</f>
        <v>25.186250000000001</v>
      </c>
      <c r="W111" s="766">
        <f>+O85</f>
        <v>62.96138203217663</v>
      </c>
    </row>
    <row r="112" spans="10:23" ht="38.25" x14ac:dyDescent="0.2">
      <c r="R112" s="767" t="str">
        <f>+J88</f>
        <v xml:space="preserve">8. EDUCACION AMBIENTAL, PARTICIPACION Y FORTALECIMIENTO ORGANIZACIONAL </v>
      </c>
      <c r="S112" s="1382">
        <f>+K88</f>
        <v>15</v>
      </c>
      <c r="T112" s="766">
        <f>+L88</f>
        <v>2.7287399999999997</v>
      </c>
      <c r="U112" s="766">
        <f t="shared" si="8"/>
        <v>18.191599999999998</v>
      </c>
      <c r="V112" s="766">
        <f>+N88</f>
        <v>69.2</v>
      </c>
      <c r="W112" s="766">
        <f>+O88</f>
        <v>75.025644349263601</v>
      </c>
    </row>
    <row r="113" spans="18:30" ht="30" x14ac:dyDescent="0.2">
      <c r="R113" s="768" t="str">
        <f>+J90</f>
        <v>AVANCE TOTAL METAS FISICAS  FINANCIERAS</v>
      </c>
      <c r="S113" s="1383">
        <f>SUM(S105:S112)</f>
        <v>100</v>
      </c>
      <c r="T113" s="769">
        <f>SUM(T105:T112)</f>
        <v>25.726152943604919</v>
      </c>
      <c r="U113" s="769">
        <f>+T113*100/S113</f>
        <v>25.726152943604919</v>
      </c>
      <c r="V113" s="769">
        <f>AVERAGE(V105:V112)</f>
        <v>47.737269031084658</v>
      </c>
      <c r="W113" s="769">
        <f>+O90</f>
        <v>31.927991235392561</v>
      </c>
    </row>
    <row r="114" spans="18:30" x14ac:dyDescent="0.2">
      <c r="W114" s="726"/>
    </row>
    <row r="115" spans="18:30" x14ac:dyDescent="0.2">
      <c r="R115" s="119"/>
      <c r="S115" s="119"/>
      <c r="T115" s="119"/>
      <c r="U115" s="736"/>
      <c r="V115" s="736"/>
      <c r="W115" s="119"/>
    </row>
    <row r="116" spans="18:30" x14ac:dyDescent="0.2">
      <c r="R116" s="119"/>
      <c r="S116" s="119"/>
      <c r="T116" s="119"/>
      <c r="U116" s="736"/>
      <c r="V116" s="736"/>
      <c r="W116" s="119"/>
    </row>
    <row r="117" spans="18:30" ht="15" x14ac:dyDescent="0.2">
      <c r="X117" s="1755" t="s">
        <v>1341</v>
      </c>
      <c r="Y117" s="1756"/>
      <c r="Z117" s="1757"/>
    </row>
    <row r="118" spans="18:30" ht="25.5" x14ac:dyDescent="0.2">
      <c r="X118" s="430" t="str">
        <f t="shared" ref="X118:X126" si="9">+R104</f>
        <v>PROGRAMAS PAI 2016-2019</v>
      </c>
      <c r="Y118" s="505" t="s">
        <v>929</v>
      </c>
      <c r="Z118" s="505" t="s">
        <v>1342</v>
      </c>
    </row>
    <row r="119" spans="18:30" ht="25.5" x14ac:dyDescent="0.2">
      <c r="X119" s="437" t="str">
        <f t="shared" si="9"/>
        <v>1. PLANIFICACION AMBIENTAL ARTICULADA E INTEGRAL</v>
      </c>
      <c r="Y119" s="436">
        <f>+'Anexo 1.MAO'!AL6</f>
        <v>10</v>
      </c>
      <c r="Z119" s="436">
        <f>+T105</f>
        <v>2.7230769230769232</v>
      </c>
      <c r="AB119" s="441"/>
      <c r="AD119" s="441"/>
    </row>
    <row r="120" spans="18:30" x14ac:dyDescent="0.2">
      <c r="X120" s="437" t="str">
        <f t="shared" si="9"/>
        <v>2. CAMBIO CLIMATICO Y GESTION DEL RIESGO</v>
      </c>
      <c r="Y120" s="436">
        <f>+'Anexo 1.MAO'!AL20</f>
        <v>10</v>
      </c>
      <c r="Z120" s="436">
        <f t="shared" ref="Z120:Z126" si="10">+T106</f>
        <v>2.2860902777777783</v>
      </c>
      <c r="AB120" s="440"/>
    </row>
    <row r="121" spans="18:30" x14ac:dyDescent="0.2">
      <c r="X121" s="437" t="str">
        <f t="shared" si="9"/>
        <v>3. GESTION DEL RECURSO HIDRICO</v>
      </c>
      <c r="Y121" s="436">
        <f>+'Anexo 1.MAO'!AL47</f>
        <v>15</v>
      </c>
      <c r="Z121" s="436">
        <f t="shared" si="10"/>
        <v>5.3153479071428569</v>
      </c>
    </row>
    <row r="122" spans="18:30" ht="25.5" x14ac:dyDescent="0.2">
      <c r="X122" s="437" t="str">
        <f t="shared" si="9"/>
        <v>4. GESTION INTEGRAL DE LA BIODIVERSIDAD Y SUS SERVICIOS ECOSISTEMICOS</v>
      </c>
      <c r="Y122" s="436">
        <f>+'Anexo 1.MAO'!AL77</f>
        <v>15</v>
      </c>
      <c r="Z122" s="436">
        <f t="shared" si="10"/>
        <v>0.17499999999999996</v>
      </c>
    </row>
    <row r="123" spans="18:30" ht="25.5" x14ac:dyDescent="0.2">
      <c r="X123" s="437" t="str">
        <f t="shared" si="9"/>
        <v>5. GOBERNANZA EN EL USO Y APROVECHAMIENTO DE LOS RECURSOS NATURALES Y EL AMBIENTE</v>
      </c>
      <c r="Y123" s="436">
        <f>+'Anexo 1.MAO'!AL105</f>
        <v>15</v>
      </c>
      <c r="Z123" s="436">
        <f t="shared" si="10"/>
        <v>8.7807084764697674</v>
      </c>
    </row>
    <row r="124" spans="18:30" ht="25.5" x14ac:dyDescent="0.2">
      <c r="X124" s="437" t="str">
        <f t="shared" si="9"/>
        <v>6. DESARROLLO INSTITUCIONAL Y FORTALECIMIENTO A LA GESTION POR PROCESOS</v>
      </c>
      <c r="Y124" s="436">
        <f>+'Anexo 1.MAO'!AL133</f>
        <v>10</v>
      </c>
      <c r="Z124" s="436">
        <f t="shared" si="10"/>
        <v>1.8543322162804514</v>
      </c>
    </row>
    <row r="125" spans="18:30" ht="25.5" x14ac:dyDescent="0.2">
      <c r="X125" s="437" t="str">
        <f t="shared" si="9"/>
        <v>7. FOMENTO A LA PRODUCCION Y CONSUMO SOSTENIBLE EN LOS SECTORES PRODUCTIVOS</v>
      </c>
      <c r="Y125" s="436">
        <f>+'Anexo 1.MAO'!AL170</f>
        <v>10</v>
      </c>
      <c r="Z125" s="436">
        <f t="shared" si="10"/>
        <v>1.862857142857143</v>
      </c>
    </row>
    <row r="126" spans="18:30" ht="25.5" x14ac:dyDescent="0.2">
      <c r="X126" s="437" t="str">
        <f t="shared" si="9"/>
        <v xml:space="preserve">8. EDUCACION AMBIENTAL, PARTICIPACION Y FORTALECIMIENTO ORGANIZACIONAL </v>
      </c>
      <c r="Y126" s="436">
        <f>+'Anexo 1.MAO'!AL183</f>
        <v>15</v>
      </c>
      <c r="Z126" s="436">
        <f t="shared" si="10"/>
        <v>2.7287399999999997</v>
      </c>
    </row>
    <row r="127" spans="18:30" x14ac:dyDescent="0.2">
      <c r="X127" s="435" t="s">
        <v>928</v>
      </c>
      <c r="Y127" s="426">
        <f>SUM(Y119:Y126)</f>
        <v>100</v>
      </c>
      <c r="Z127" s="426">
        <f>SUM(Z119:Z126)</f>
        <v>25.726152943604919</v>
      </c>
    </row>
  </sheetData>
  <sheetProtection password="E801" sheet="1" objects="1" scenarios="1"/>
  <mergeCells count="12">
    <mergeCell ref="A1:D1"/>
    <mergeCell ref="F4:I4"/>
    <mergeCell ref="J48:Q48"/>
    <mergeCell ref="J91:O91"/>
    <mergeCell ref="J92:L92"/>
    <mergeCell ref="J98:L98"/>
    <mergeCell ref="X117:Z117"/>
    <mergeCell ref="J93:L93"/>
    <mergeCell ref="J94:L94"/>
    <mergeCell ref="J95:L95"/>
    <mergeCell ref="J96:L96"/>
    <mergeCell ref="J97:L97"/>
  </mergeCells>
  <pageMargins left="0.70866141732283472" right="0.70866141732283472" top="0.74803149606299213" bottom="0.74803149606299213" header="0.31496062992125984" footer="0.31496062992125984"/>
  <pageSetup orientation="landscape" r:id="rId1"/>
  <ignoredErrors>
    <ignoredError sqref="L8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topLeftCell="C12" workbookViewId="0">
      <selection activeCell="C12" sqref="C12"/>
    </sheetView>
  </sheetViews>
  <sheetFormatPr baseColWidth="10" defaultRowHeight="12.75" x14ac:dyDescent="0.2"/>
  <sheetData>
    <row r="1" spans="2:5" x14ac:dyDescent="0.2">
      <c r="C1" t="s">
        <v>694</v>
      </c>
      <c r="D1" t="s">
        <v>695</v>
      </c>
    </row>
    <row r="2" spans="2:5" x14ac:dyDescent="0.2">
      <c r="B2">
        <v>1</v>
      </c>
      <c r="C2">
        <v>41</v>
      </c>
      <c r="D2">
        <v>90</v>
      </c>
    </row>
    <row r="3" spans="2:5" x14ac:dyDescent="0.2">
      <c r="B3">
        <v>2</v>
      </c>
      <c r="C3">
        <v>41</v>
      </c>
      <c r="D3">
        <v>85</v>
      </c>
    </row>
    <row r="4" spans="2:5" x14ac:dyDescent="0.2">
      <c r="B4">
        <v>3</v>
      </c>
      <c r="C4">
        <v>41</v>
      </c>
      <c r="D4">
        <v>90</v>
      </c>
    </row>
    <row r="5" spans="2:5" x14ac:dyDescent="0.2">
      <c r="B5">
        <v>4</v>
      </c>
      <c r="C5">
        <v>50</v>
      </c>
      <c r="D5">
        <v>90</v>
      </c>
    </row>
    <row r="6" spans="2:5" x14ac:dyDescent="0.2">
      <c r="B6">
        <v>5</v>
      </c>
      <c r="C6">
        <v>40</v>
      </c>
      <c r="D6">
        <v>90</v>
      </c>
    </row>
    <row r="7" spans="2:5" x14ac:dyDescent="0.2">
      <c r="B7">
        <v>6</v>
      </c>
      <c r="C7">
        <v>41</v>
      </c>
      <c r="D7">
        <v>110</v>
      </c>
    </row>
    <row r="8" spans="2:5" x14ac:dyDescent="0.2">
      <c r="B8">
        <v>7</v>
      </c>
      <c r="C8">
        <v>41</v>
      </c>
      <c r="D8">
        <v>85</v>
      </c>
    </row>
    <row r="9" spans="2:5" x14ac:dyDescent="0.2">
      <c r="B9">
        <v>8</v>
      </c>
      <c r="C9">
        <v>41</v>
      </c>
      <c r="D9">
        <v>90</v>
      </c>
    </row>
    <row r="10" spans="2:5" x14ac:dyDescent="0.2">
      <c r="B10">
        <v>9</v>
      </c>
      <c r="C10">
        <v>41</v>
      </c>
      <c r="D10">
        <v>90</v>
      </c>
    </row>
    <row r="11" spans="2:5" x14ac:dyDescent="0.2">
      <c r="B11">
        <v>10</v>
      </c>
      <c r="C11">
        <v>50</v>
      </c>
      <c r="D11">
        <v>90</v>
      </c>
    </row>
    <row r="12" spans="2:5" x14ac:dyDescent="0.2">
      <c r="C12">
        <f>SUM(C2:C11)</f>
        <v>427</v>
      </c>
      <c r="D12">
        <f>SUM(D2:D11)/10</f>
        <v>91</v>
      </c>
      <c r="E12">
        <f>+C12+D12/2</f>
        <v>472.5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topLeftCell="C12" zoomScale="200" zoomScaleNormal="200" workbookViewId="0">
      <selection activeCell="C12" sqref="C12"/>
    </sheetView>
  </sheetViews>
  <sheetFormatPr baseColWidth="10" defaultRowHeight="12.75" x14ac:dyDescent="0.2"/>
  <cols>
    <col min="2" max="2" width="50" style="336" customWidth="1"/>
    <col min="3" max="4" width="19.42578125" style="336" bestFit="1" customWidth="1"/>
    <col min="5" max="6" width="20.7109375" bestFit="1" customWidth="1"/>
    <col min="7" max="7" width="21.85546875" bestFit="1" customWidth="1"/>
    <col min="8" max="8" width="8.140625" bestFit="1" customWidth="1"/>
    <col min="9" max="9" width="21.85546875" bestFit="1" customWidth="1"/>
    <col min="10" max="10" width="4.7109375" customWidth="1"/>
  </cols>
  <sheetData>
    <row r="1" spans="2:9" ht="17.25" customHeight="1" x14ac:dyDescent="0.2">
      <c r="B1" s="1766" t="s">
        <v>620</v>
      </c>
      <c r="C1" s="1766"/>
      <c r="D1" s="1766"/>
      <c r="E1" s="1766"/>
      <c r="F1" s="1766"/>
      <c r="G1" s="1766"/>
    </row>
    <row r="2" spans="2:9" x14ac:dyDescent="0.2">
      <c r="B2" s="343" t="s">
        <v>618</v>
      </c>
      <c r="C2" s="343">
        <v>2016</v>
      </c>
      <c r="D2" s="343">
        <v>2017</v>
      </c>
      <c r="E2" s="344">
        <v>2018</v>
      </c>
      <c r="F2" s="343">
        <v>2019</v>
      </c>
      <c r="G2" s="343" t="s">
        <v>619</v>
      </c>
    </row>
    <row r="3" spans="2:9" ht="25.5" x14ac:dyDescent="0.2">
      <c r="B3" s="80" t="str">
        <f>+'Anexo 1.MAO'!E6</f>
        <v>1. PLANIFICACION AMBIENTAL ARTICULADA E INTEGRAL</v>
      </c>
      <c r="C3" s="338">
        <f>+'Anexo 1.MAO'!AQ6</f>
        <v>1045758475</v>
      </c>
      <c r="D3" s="338">
        <f>+'Anexo 1.MAO'!BQ6</f>
        <v>1951334322</v>
      </c>
      <c r="E3" s="339">
        <f>+'Anexo 1.MAO'!BU6</f>
        <v>3908967755</v>
      </c>
      <c r="F3" s="339">
        <f>+'Anexo 1.MAO'!BY6</f>
        <v>4067860668</v>
      </c>
      <c r="G3" s="339">
        <f t="shared" ref="G3:G10" si="0">SUM(C3:F3)</f>
        <v>10973921220</v>
      </c>
      <c r="H3" s="341">
        <v>10</v>
      </c>
      <c r="I3" s="337">
        <f>+'Anexo 1.MAO'!BZ6</f>
        <v>11564009411.6</v>
      </c>
    </row>
    <row r="4" spans="2:9" x14ac:dyDescent="0.2">
      <c r="B4" s="80" t="str">
        <f>+'Anexo 1.MAO'!E47</f>
        <v>3. GESTION DEL RECURSO HIDRICO</v>
      </c>
      <c r="C4" s="338">
        <f>+'Anexo 1.MAO'!AQ47</f>
        <v>3681026671</v>
      </c>
      <c r="D4" s="338">
        <f>+'Anexo 1.MAO'!BQ47</f>
        <v>4988748039</v>
      </c>
      <c r="E4" s="339">
        <f>+'Anexo 1.MAO'!BU47</f>
        <v>4754680949</v>
      </c>
      <c r="F4" s="339">
        <f>+'Anexo 1.MAO'!BY47</f>
        <v>4970950961</v>
      </c>
      <c r="G4" s="339">
        <f t="shared" si="0"/>
        <v>18395406620</v>
      </c>
      <c r="H4" s="341">
        <v>15</v>
      </c>
      <c r="I4" s="337">
        <f>+'Anexo 1.MAO'!BZ47</f>
        <v>34660473243.940002</v>
      </c>
    </row>
    <row r="5" spans="2:9" x14ac:dyDescent="0.2">
      <c r="B5" s="80" t="str">
        <f>+'Anexo 1.MAO'!E20</f>
        <v>2. CAMBIO CLIMATICO Y GESTION DEL RIESGO</v>
      </c>
      <c r="C5" s="338">
        <f>+'Anexo 1.MAO'!AQ20</f>
        <v>556738427</v>
      </c>
      <c r="D5" s="338">
        <f>+'Anexo 1.MAO'!BQ20</f>
        <v>639700000</v>
      </c>
      <c r="E5" s="339">
        <f>+'Anexo 1.MAO'!BU20</f>
        <v>643400000</v>
      </c>
      <c r="F5" s="339">
        <f>+'Anexo 1.MAO'!BY20</f>
        <v>717400000</v>
      </c>
      <c r="G5" s="339">
        <f t="shared" si="0"/>
        <v>2557238427</v>
      </c>
      <c r="H5" s="341">
        <v>10</v>
      </c>
      <c r="I5" s="337">
        <f>+'Anexo 1.MAO'!BZ20</f>
        <v>2809735188.9980001</v>
      </c>
    </row>
    <row r="6" spans="2:9" ht="25.5" x14ac:dyDescent="0.2">
      <c r="B6" s="80" t="str">
        <f>+'Anexo 1.MAO'!E77</f>
        <v>4. GESTION INTEGRAL DE LA BIODIVERSIDAD Y SUS SERVICIOS ECOSISTEMICOS</v>
      </c>
      <c r="C6" s="338">
        <f>+'Anexo 1.MAO'!AQ77</f>
        <v>2722000000</v>
      </c>
      <c r="D6" s="338">
        <f>+'Anexo 1.MAO'!BQ77</f>
        <v>1917361030</v>
      </c>
      <c r="E6" s="339">
        <f>+'Anexo 1.MAO'!BU77</f>
        <v>1569000000</v>
      </c>
      <c r="F6" s="339">
        <f>+'Anexo 1.MAO'!BY77</f>
        <v>1349230780</v>
      </c>
      <c r="G6" s="339">
        <f t="shared" si="0"/>
        <v>7557591810</v>
      </c>
      <c r="H6" s="341">
        <v>15</v>
      </c>
      <c r="I6" s="337">
        <f>+'Anexo 1.MAO'!BZ77</f>
        <v>8711832037</v>
      </c>
    </row>
    <row r="7" spans="2:9" ht="25.5" x14ac:dyDescent="0.2">
      <c r="B7" s="80" t="str">
        <f>+'Anexo 1.MAO'!E170</f>
        <v>7. FOMENTO A LA PRODUCCION Y CONSUMO SOSTENIBLE EN LOS SECTORES PRODUCTIVOS</v>
      </c>
      <c r="C7" s="338">
        <f>+'Anexo 1.MAO'!AQ170</f>
        <v>260000000</v>
      </c>
      <c r="D7" s="338">
        <f>+'Anexo 1.MAO'!BQ170</f>
        <v>430600000</v>
      </c>
      <c r="E7" s="339">
        <f>+'Anexo 1.MAO'!BU170</f>
        <v>491848000</v>
      </c>
      <c r="F7" s="339">
        <f>+'Anexo 1.MAO'!BY170</f>
        <v>658344960</v>
      </c>
      <c r="G7" s="339">
        <f t="shared" si="0"/>
        <v>1840792960</v>
      </c>
      <c r="H7" s="341">
        <v>10</v>
      </c>
      <c r="I7" s="337">
        <f>+'Anexo 1.MAO'!BZ170</f>
        <v>1982080693</v>
      </c>
    </row>
    <row r="8" spans="2:9" ht="25.5" x14ac:dyDescent="0.2">
      <c r="B8" s="80" t="str">
        <f>+'Anexo 1.MAO'!E105</f>
        <v>5. GOBERNANZA EN EL USO Y APROVECHAMIENTO DE LOS RECURSOS NATURALES Y EL AMBIENTE</v>
      </c>
      <c r="C8" s="338">
        <f>+'Anexo 1.MAO'!AQ105</f>
        <v>2212945608</v>
      </c>
      <c r="D8" s="338">
        <f>+'Anexo 1.MAO'!BQ105</f>
        <v>2313619000</v>
      </c>
      <c r="E8" s="339">
        <f>+'Anexo 1.MAO'!BU105</f>
        <v>2418652330</v>
      </c>
      <c r="F8" s="339">
        <f>+'Anexo 1.MAO'!BY105</f>
        <v>2540480753</v>
      </c>
      <c r="G8" s="339">
        <f t="shared" si="0"/>
        <v>9485697691</v>
      </c>
      <c r="H8" s="341">
        <v>15</v>
      </c>
      <c r="I8" s="337">
        <f>+'Anexo 1.MAO'!BZ105</f>
        <v>13014100464</v>
      </c>
    </row>
    <row r="9" spans="2:9" ht="25.5" x14ac:dyDescent="0.2">
      <c r="B9" s="80" t="str">
        <f>+'Anexo 1.MAO'!E183</f>
        <v xml:space="preserve">8. EDUCACION AMBIENTAL, PARTICIPACION Y FORTALECIMIENTO ORGANIZACIONAL </v>
      </c>
      <c r="C9" s="338">
        <f>+'Anexo 1.MAO'!AQ183</f>
        <v>516000000</v>
      </c>
      <c r="D9" s="338">
        <f>+'Anexo 1.MAO'!BQ183</f>
        <v>527000000</v>
      </c>
      <c r="E9" s="339">
        <f>+'Anexo 1.MAO'!BU183</f>
        <v>543000000</v>
      </c>
      <c r="F9" s="339">
        <f>+'Anexo 1.MAO'!BY183</f>
        <v>553000000</v>
      </c>
      <c r="G9" s="339">
        <f t="shared" si="0"/>
        <v>2139000000</v>
      </c>
      <c r="H9" s="341">
        <v>15</v>
      </c>
      <c r="I9" s="337">
        <f>+'Anexo 1.MAO'!BZ183</f>
        <v>2594320000</v>
      </c>
    </row>
    <row r="10" spans="2:9" ht="25.5" x14ac:dyDescent="0.2">
      <c r="B10" s="80" t="str">
        <f>+'Anexo 1.MAO'!E133</f>
        <v>6. DESARROLLO INSTITUCIONAL Y FORTALECIMIENTO A LA GESTION POR PROCESOS</v>
      </c>
      <c r="C10" s="338">
        <f>+'Anexo 1.MAO'!AQ133</f>
        <v>1056910825</v>
      </c>
      <c r="D10" s="338">
        <f>+'Anexo 1.MAO'!BQ133</f>
        <v>1377234869</v>
      </c>
      <c r="E10" s="339">
        <f>+'Anexo 1.MAO'!BU133</f>
        <v>1386277037</v>
      </c>
      <c r="F10" s="339">
        <f>+'Anexo 1.MAO'!BY133</f>
        <v>1597785646</v>
      </c>
      <c r="G10" s="339">
        <f t="shared" si="0"/>
        <v>5418208377</v>
      </c>
      <c r="H10" s="341">
        <v>10</v>
      </c>
      <c r="I10" s="337">
        <f>+'Anexo 1.MAO'!BZ133</f>
        <v>6339061920.0039997</v>
      </c>
    </row>
    <row r="11" spans="2:9" x14ac:dyDescent="0.2">
      <c r="B11" s="343" t="s">
        <v>17</v>
      </c>
      <c r="C11" s="345">
        <f t="shared" ref="C11:H11" si="1">SUM(C3:C10)</f>
        <v>12051380006</v>
      </c>
      <c r="D11" s="345">
        <f t="shared" si="1"/>
        <v>14145597260</v>
      </c>
      <c r="E11" s="345">
        <f t="shared" si="1"/>
        <v>15715826071</v>
      </c>
      <c r="F11" s="345">
        <f t="shared" si="1"/>
        <v>16455053768</v>
      </c>
      <c r="G11" s="346">
        <f t="shared" si="1"/>
        <v>58367857105</v>
      </c>
      <c r="H11" s="342">
        <f t="shared" si="1"/>
        <v>100</v>
      </c>
    </row>
    <row r="12" spans="2:9" x14ac:dyDescent="0.2">
      <c r="G12" s="340"/>
      <c r="I12" s="337" t="e">
        <f>+'Anexo 1.MAO'!#REF!</f>
        <v>#REF!</v>
      </c>
    </row>
  </sheetData>
  <mergeCells count="1">
    <mergeCell ref="B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92"/>
  <sheetViews>
    <sheetView topLeftCell="C1" zoomScaleNormal="100" workbookViewId="0">
      <pane ySplit="4" topLeftCell="A5" activePane="bottomLeft" state="frozen"/>
      <selection activeCell="C12" sqref="C12"/>
      <selection pane="bottomLeft" activeCell="C12" sqref="C12"/>
    </sheetView>
  </sheetViews>
  <sheetFormatPr baseColWidth="10" defaultColWidth="11.42578125" defaultRowHeight="12.75" x14ac:dyDescent="0.2"/>
  <cols>
    <col min="1" max="1" width="22.7109375" style="3" hidden="1" customWidth="1"/>
    <col min="2" max="2" width="25.85546875" style="13" customWidth="1"/>
    <col min="3" max="3" width="22.28515625" style="13" hidden="1" customWidth="1"/>
    <col min="4" max="4" width="38.85546875" style="13" hidden="1" customWidth="1"/>
    <col min="5" max="8" width="4.28515625" style="12" hidden="1" customWidth="1"/>
    <col min="9" max="9" width="28.28515625" style="37" hidden="1" customWidth="1"/>
    <col min="10" max="10" width="15.7109375" style="124" hidden="1" customWidth="1"/>
    <col min="11" max="12" width="9.28515625" style="12" hidden="1" customWidth="1"/>
    <col min="13" max="13" width="15.7109375" style="12" hidden="1" customWidth="1"/>
    <col min="14" max="14" width="9.42578125" style="12" hidden="1" customWidth="1"/>
    <col min="15" max="15" width="19" style="12" hidden="1" customWidth="1"/>
    <col min="16" max="16" width="18.140625" style="3" hidden="1" customWidth="1"/>
    <col min="17" max="17" width="17.28515625" style="3" hidden="1" customWidth="1"/>
    <col min="18" max="18" width="15.85546875" style="3" hidden="1" customWidth="1"/>
    <col min="19" max="19" width="12.42578125" style="3" customWidth="1"/>
    <col min="20" max="20" width="18.140625" style="3" hidden="1" customWidth="1"/>
    <col min="21" max="21" width="17.28515625" style="3" hidden="1" customWidth="1"/>
    <col min="22" max="22" width="18.7109375" style="3" hidden="1" customWidth="1"/>
    <col min="23" max="23" width="12.7109375" style="3" customWidth="1"/>
    <col min="24" max="24" width="22.42578125" style="3" hidden="1" customWidth="1"/>
    <col min="25" max="25" width="17.28515625" style="3" hidden="1" customWidth="1"/>
    <col min="26" max="26" width="20" style="3" hidden="1" customWidth="1"/>
    <col min="27" max="27" width="12.28515625" style="3" customWidth="1"/>
    <col min="28" max="28" width="18.42578125" style="3" hidden="1" customWidth="1"/>
    <col min="29" max="29" width="17.28515625" style="3" hidden="1" customWidth="1"/>
    <col min="30" max="30" width="16.85546875" style="3" hidden="1" customWidth="1"/>
    <col min="31" max="31" width="11.140625" style="3" customWidth="1"/>
    <col min="32" max="32" width="15.85546875" style="3" customWidth="1"/>
    <col min="33" max="33" width="13" style="3" hidden="1" customWidth="1"/>
    <col min="34" max="34" width="20.28515625" style="193" hidden="1" customWidth="1"/>
    <col min="35" max="35" width="17.28515625" style="118" hidden="1" customWidth="1"/>
    <col min="36" max="36" width="13.28515625" style="3" hidden="1" customWidth="1"/>
    <col min="37" max="41" width="0" style="3" hidden="1" customWidth="1"/>
    <col min="42" max="256" width="11.42578125" style="3"/>
  </cols>
  <sheetData>
    <row r="1" spans="1:39" ht="20.25" customHeight="1" x14ac:dyDescent="0.2">
      <c r="A1" s="1844" t="s">
        <v>622</v>
      </c>
      <c r="B1" s="1844"/>
      <c r="C1" s="1844"/>
      <c r="D1" s="1844"/>
      <c r="E1" s="1844"/>
      <c r="F1" s="1844"/>
      <c r="G1" s="1844"/>
      <c r="H1" s="1844"/>
      <c r="I1" s="1844"/>
      <c r="J1" s="1844"/>
      <c r="K1" s="1844"/>
      <c r="L1" s="1844"/>
      <c r="M1" s="1844"/>
      <c r="N1" s="1844"/>
      <c r="O1" s="1844"/>
      <c r="P1" s="1844"/>
      <c r="Q1" s="1844"/>
      <c r="R1" s="1844"/>
      <c r="S1" s="1844"/>
      <c r="T1" s="1844"/>
      <c r="U1" s="1844"/>
      <c r="V1" s="1844"/>
      <c r="W1" s="1844"/>
      <c r="X1" s="1844"/>
      <c r="Y1" s="1844"/>
      <c r="Z1" s="1844"/>
      <c r="AA1" s="1844"/>
      <c r="AB1" s="1844"/>
      <c r="AC1" s="1844"/>
      <c r="AD1" s="1844"/>
      <c r="AE1" s="1844"/>
      <c r="AF1" s="1844"/>
    </row>
    <row r="2" spans="1:39" ht="11.25" customHeight="1" x14ac:dyDescent="0.2">
      <c r="A2" s="1846" t="s">
        <v>10</v>
      </c>
      <c r="B2" s="1847"/>
      <c r="C2" s="1847"/>
      <c r="D2" s="1847"/>
      <c r="E2" s="1847"/>
      <c r="F2" s="1847"/>
      <c r="G2" s="1847"/>
      <c r="H2" s="1847"/>
      <c r="I2" s="1847"/>
      <c r="J2" s="1847"/>
      <c r="K2" s="1847"/>
      <c r="L2" s="1847"/>
      <c r="M2" s="1847"/>
      <c r="N2" s="1847"/>
      <c r="O2" s="1848"/>
      <c r="P2" s="1845" t="s">
        <v>623</v>
      </c>
      <c r="Q2" s="1845"/>
      <c r="R2" s="1845"/>
      <c r="S2" s="1845"/>
      <c r="T2" s="1845"/>
      <c r="U2" s="1845"/>
      <c r="V2" s="1845"/>
      <c r="W2" s="1845"/>
      <c r="X2" s="1845"/>
      <c r="Y2" s="1845"/>
      <c r="Z2" s="1845"/>
      <c r="AA2" s="1845"/>
      <c r="AB2" s="1845"/>
      <c r="AC2" s="1845"/>
      <c r="AD2" s="1845"/>
      <c r="AE2" s="1845"/>
      <c r="AF2" s="1845"/>
      <c r="AG2" s="331"/>
    </row>
    <row r="3" spans="1:39" s="1" customFormat="1" ht="11.25" customHeight="1" x14ac:dyDescent="0.2">
      <c r="A3" s="1849"/>
      <c r="B3" s="1850"/>
      <c r="C3" s="1850"/>
      <c r="D3" s="1850"/>
      <c r="E3" s="1850"/>
      <c r="F3" s="1850"/>
      <c r="G3" s="1850"/>
      <c r="H3" s="1850"/>
      <c r="I3" s="1850"/>
      <c r="J3" s="1850"/>
      <c r="K3" s="1850"/>
      <c r="L3" s="1850"/>
      <c r="M3" s="1850"/>
      <c r="N3" s="1850"/>
      <c r="O3" s="1851"/>
      <c r="P3" s="1855">
        <v>2016</v>
      </c>
      <c r="Q3" s="1855"/>
      <c r="R3" s="1855"/>
      <c r="S3" s="1855"/>
      <c r="T3" s="1856">
        <v>2017</v>
      </c>
      <c r="U3" s="1856"/>
      <c r="V3" s="1856"/>
      <c r="W3" s="1856"/>
      <c r="X3" s="1857">
        <v>2018</v>
      </c>
      <c r="Y3" s="1857"/>
      <c r="Z3" s="1857"/>
      <c r="AA3" s="1857"/>
      <c r="AB3" s="1858">
        <v>2019</v>
      </c>
      <c r="AC3" s="1858"/>
      <c r="AD3" s="1858"/>
      <c r="AE3" s="1858"/>
      <c r="AF3" s="1845" t="s">
        <v>7</v>
      </c>
      <c r="AG3" s="331"/>
      <c r="AH3" s="244" t="s">
        <v>488</v>
      </c>
      <c r="AI3" s="245" t="s">
        <v>490</v>
      </c>
    </row>
    <row r="4" spans="1:39" s="1" customFormat="1" ht="22.5" customHeight="1" x14ac:dyDescent="0.2">
      <c r="A4" s="1852"/>
      <c r="B4" s="1853"/>
      <c r="C4" s="1853"/>
      <c r="D4" s="1853"/>
      <c r="E4" s="1853"/>
      <c r="F4" s="1853"/>
      <c r="G4" s="1853"/>
      <c r="H4" s="1853"/>
      <c r="I4" s="1853"/>
      <c r="J4" s="1853"/>
      <c r="K4" s="1853"/>
      <c r="L4" s="1853"/>
      <c r="M4" s="1853"/>
      <c r="N4" s="1853"/>
      <c r="O4" s="1854"/>
      <c r="P4" s="1855"/>
      <c r="Q4" s="1855"/>
      <c r="R4" s="1855"/>
      <c r="S4" s="1855"/>
      <c r="T4" s="1856"/>
      <c r="U4" s="1856"/>
      <c r="V4" s="1856"/>
      <c r="W4" s="1856"/>
      <c r="X4" s="1857"/>
      <c r="Y4" s="1857"/>
      <c r="Z4" s="1857"/>
      <c r="AA4" s="1857"/>
      <c r="AB4" s="1858"/>
      <c r="AC4" s="1858"/>
      <c r="AD4" s="1858"/>
      <c r="AE4" s="1858"/>
      <c r="AF4" s="1845"/>
      <c r="AG4" s="331"/>
      <c r="AH4" s="198"/>
      <c r="AI4" s="237"/>
    </row>
    <row r="5" spans="1:39" s="1" customFormat="1" ht="22.5" x14ac:dyDescent="0.2">
      <c r="A5" s="304" t="s">
        <v>601</v>
      </c>
      <c r="B5" s="304" t="s">
        <v>601</v>
      </c>
      <c r="C5" s="303"/>
      <c r="D5" s="303"/>
      <c r="E5" s="303"/>
      <c r="F5" s="303"/>
      <c r="G5" s="303"/>
      <c r="H5" s="303"/>
      <c r="I5" s="303"/>
      <c r="J5" s="303"/>
      <c r="K5" s="303"/>
      <c r="L5" s="303"/>
      <c r="M5" s="303"/>
      <c r="N5" s="303"/>
      <c r="O5" s="303"/>
      <c r="P5" s="308">
        <f>+P6+P10+P16+P18</f>
        <v>1045758475</v>
      </c>
      <c r="Q5" s="308">
        <f>+Q6+Q10+Q16+Q18</f>
        <v>949558699</v>
      </c>
      <c r="R5" s="308">
        <f>+R6+R10+R16+R18</f>
        <v>0</v>
      </c>
      <c r="S5" s="314">
        <f>SUM(P5:R5)/1000000</f>
        <v>1995.317174</v>
      </c>
      <c r="T5" s="314">
        <f>+T6+T10+T16+T18</f>
        <v>1101334322</v>
      </c>
      <c r="U5" s="314">
        <f>+U6+U10+U16+U18</f>
        <v>850000000</v>
      </c>
      <c r="V5" s="314">
        <f>+V6+V10+V16+V18</f>
        <v>0</v>
      </c>
      <c r="W5" s="314">
        <f>SUM(T5:V5)/1000000</f>
        <v>1951.3343219999999</v>
      </c>
      <c r="X5" s="314">
        <f>+X6+X10+X16+X18</f>
        <v>1258967755</v>
      </c>
      <c r="Y5" s="314">
        <f>+Y6+Y10+Y16+Y18</f>
        <v>850000000</v>
      </c>
      <c r="Z5" s="314">
        <f>+Z6+Z10+Z16+Z18</f>
        <v>1800000000</v>
      </c>
      <c r="AA5" s="314">
        <f>SUM(X5:Z5)/1000000</f>
        <v>3908.9677550000001</v>
      </c>
      <c r="AB5" s="314">
        <f>+AB6+AB10+AB16+AB18</f>
        <v>1417860668</v>
      </c>
      <c r="AC5" s="314">
        <f>+AC6+AC10+AC16+AC18</f>
        <v>850000000</v>
      </c>
      <c r="AD5" s="314">
        <f>+AD6+AD10+AD16+AD18</f>
        <v>1800000000</v>
      </c>
      <c r="AE5" s="314">
        <f>SUM(AB5:AD5)/1000000</f>
        <v>4067.8606679999998</v>
      </c>
      <c r="AF5" s="308">
        <f>+S5+W5+AA5+AE5</f>
        <v>11923.479918999999</v>
      </c>
      <c r="AG5" s="334">
        <f>+AF5/AF184*100</f>
        <v>1.9895288218160423E-5</v>
      </c>
      <c r="AH5" s="198"/>
      <c r="AI5" s="237"/>
    </row>
    <row r="6" spans="1:39" s="7" customFormat="1" ht="53.25" customHeight="1" x14ac:dyDescent="0.2">
      <c r="A6" s="248"/>
      <c r="B6" s="19" t="s">
        <v>606</v>
      </c>
      <c r="C6" s="19"/>
      <c r="D6" s="128"/>
      <c r="E6" s="128"/>
      <c r="F6" s="128"/>
      <c r="G6" s="128"/>
      <c r="H6" s="128"/>
      <c r="I6" s="131"/>
      <c r="J6" s="165"/>
      <c r="K6" s="212"/>
      <c r="L6" s="212"/>
      <c r="M6" s="212"/>
      <c r="N6" s="212"/>
      <c r="O6" s="268"/>
      <c r="P6" s="155">
        <f>+P7</f>
        <v>340000000</v>
      </c>
      <c r="Q6" s="155">
        <f>+Q7</f>
        <v>949558699</v>
      </c>
      <c r="R6" s="155">
        <f>+R7</f>
        <v>0</v>
      </c>
      <c r="S6" s="155">
        <f>SUM(P6:R6)/1000000</f>
        <v>1289.5586989999999</v>
      </c>
      <c r="T6" s="155">
        <f>+T7</f>
        <v>175000000</v>
      </c>
      <c r="U6" s="155">
        <f>+U7</f>
        <v>850000000</v>
      </c>
      <c r="V6" s="155">
        <f>+V7</f>
        <v>0</v>
      </c>
      <c r="W6" s="155">
        <f>SUM(T6:V6)/1000000</f>
        <v>1025</v>
      </c>
      <c r="X6" s="155">
        <f>+X7</f>
        <v>175000000</v>
      </c>
      <c r="Y6" s="155">
        <f>+Y7</f>
        <v>850000000</v>
      </c>
      <c r="Z6" s="155">
        <f>+Z7</f>
        <v>0</v>
      </c>
      <c r="AA6" s="155">
        <f>SUM(X6:Z6)/1000000</f>
        <v>1025</v>
      </c>
      <c r="AB6" s="155">
        <f>+AB7</f>
        <v>300000000</v>
      </c>
      <c r="AC6" s="155">
        <f>+AC7</f>
        <v>850000000</v>
      </c>
      <c r="AD6" s="155">
        <f>+AD7</f>
        <v>0</v>
      </c>
      <c r="AE6" s="155">
        <f>SUM(AB6:AD6)/1000000</f>
        <v>1150</v>
      </c>
      <c r="AF6" s="155">
        <f>+S6+W6+AA6+AE6</f>
        <v>4489.5586990000002</v>
      </c>
      <c r="AG6" s="198"/>
      <c r="AH6" s="198">
        <f>+AF7</f>
        <v>4489558699</v>
      </c>
      <c r="AI6" s="238">
        <v>367294171</v>
      </c>
    </row>
    <row r="7" spans="1:39" ht="72" hidden="1" customHeight="1" x14ac:dyDescent="0.2">
      <c r="A7" s="248"/>
      <c r="B7" s="258"/>
      <c r="C7" s="41" t="s">
        <v>401</v>
      </c>
      <c r="D7" s="1689" t="s">
        <v>607</v>
      </c>
      <c r="E7" s="42">
        <v>27</v>
      </c>
      <c r="F7" s="42"/>
      <c r="G7" s="42"/>
      <c r="H7" s="42"/>
      <c r="I7" s="41" t="s">
        <v>410</v>
      </c>
      <c r="J7" s="167" t="s">
        <v>137</v>
      </c>
      <c r="K7" s="214">
        <v>4</v>
      </c>
      <c r="L7" s="214">
        <v>5</v>
      </c>
      <c r="M7" s="214">
        <v>3</v>
      </c>
      <c r="N7" s="214">
        <v>1</v>
      </c>
      <c r="O7" s="211">
        <v>6</v>
      </c>
      <c r="P7" s="1529">
        <v>340000000</v>
      </c>
      <c r="Q7" s="1787">
        <v>949558699</v>
      </c>
      <c r="R7" s="1859"/>
      <c r="S7" s="1808">
        <f>SUM(P7:R7)</f>
        <v>1289558699</v>
      </c>
      <c r="T7" s="1808">
        <v>175000000</v>
      </c>
      <c r="U7" s="1808">
        <v>850000000</v>
      </c>
      <c r="V7" s="1862"/>
      <c r="W7" s="1808">
        <f>SUM(T7:V7)</f>
        <v>1025000000</v>
      </c>
      <c r="X7" s="1808">
        <v>175000000</v>
      </c>
      <c r="Y7" s="1808">
        <v>850000000</v>
      </c>
      <c r="Z7" s="1862"/>
      <c r="AA7" s="1808">
        <f>SUM(X7:Z7)</f>
        <v>1025000000</v>
      </c>
      <c r="AB7" s="1808">
        <v>300000000</v>
      </c>
      <c r="AC7" s="1808">
        <v>850000000</v>
      </c>
      <c r="AD7" s="1862"/>
      <c r="AE7" s="1808">
        <f>SUM(AB7:AD7)</f>
        <v>1150000000</v>
      </c>
      <c r="AF7" s="1808">
        <f>+S7+W7+AA7+AE7</f>
        <v>4489558699</v>
      </c>
      <c r="AG7" s="193"/>
    </row>
    <row r="8" spans="1:39" ht="72" hidden="1" customHeight="1" x14ac:dyDescent="0.2">
      <c r="A8" s="248"/>
      <c r="B8" s="258"/>
      <c r="C8" s="41" t="s">
        <v>409</v>
      </c>
      <c r="D8" s="1778"/>
      <c r="E8" s="42"/>
      <c r="F8" s="42"/>
      <c r="G8" s="42"/>
      <c r="H8" s="42"/>
      <c r="I8" s="41" t="s">
        <v>403</v>
      </c>
      <c r="J8" s="167" t="s">
        <v>137</v>
      </c>
      <c r="K8" s="214">
        <v>0</v>
      </c>
      <c r="L8" s="214">
        <v>0</v>
      </c>
      <c r="M8" s="214">
        <v>2</v>
      </c>
      <c r="N8" s="214">
        <v>2</v>
      </c>
      <c r="O8" s="211">
        <f>SUM(K8:N8)</f>
        <v>4</v>
      </c>
      <c r="P8" s="1530"/>
      <c r="Q8" s="1788"/>
      <c r="R8" s="1860"/>
      <c r="S8" s="1808"/>
      <c r="T8" s="1808"/>
      <c r="U8" s="1808"/>
      <c r="V8" s="1862"/>
      <c r="W8" s="1808"/>
      <c r="X8" s="1808"/>
      <c r="Y8" s="1808"/>
      <c r="Z8" s="1862"/>
      <c r="AA8" s="1808"/>
      <c r="AB8" s="1808"/>
      <c r="AC8" s="1808"/>
      <c r="AD8" s="1862"/>
      <c r="AE8" s="1808"/>
      <c r="AF8" s="1808"/>
      <c r="AG8" s="193"/>
    </row>
    <row r="9" spans="1:39" ht="48.6" hidden="1" customHeight="1" x14ac:dyDescent="0.2">
      <c r="A9" s="248"/>
      <c r="B9" s="258"/>
      <c r="C9" s="41"/>
      <c r="D9" s="1779"/>
      <c r="E9" s="42"/>
      <c r="F9" s="42"/>
      <c r="G9" s="42"/>
      <c r="H9" s="42"/>
      <c r="I9" s="132" t="s">
        <v>447</v>
      </c>
      <c r="J9" s="167" t="s">
        <v>419</v>
      </c>
      <c r="K9" s="214">
        <v>1</v>
      </c>
      <c r="L9" s="214">
        <v>0</v>
      </c>
      <c r="M9" s="214">
        <v>0</v>
      </c>
      <c r="N9" s="214">
        <v>0</v>
      </c>
      <c r="O9" s="217">
        <v>1</v>
      </c>
      <c r="P9" s="1531"/>
      <c r="Q9" s="1789"/>
      <c r="R9" s="1861"/>
      <c r="S9" s="1808"/>
      <c r="T9" s="1808"/>
      <c r="U9" s="1808"/>
      <c r="V9" s="1862"/>
      <c r="W9" s="1808"/>
      <c r="X9" s="1808"/>
      <c r="Y9" s="1808"/>
      <c r="Z9" s="1862"/>
      <c r="AA9" s="1808"/>
      <c r="AB9" s="1808"/>
      <c r="AC9" s="1808"/>
      <c r="AD9" s="1862"/>
      <c r="AE9" s="1808"/>
      <c r="AF9" s="1808">
        <f t="shared" ref="AF9:AF21" si="0">+S9+W9+AA9+AE9</f>
        <v>0</v>
      </c>
      <c r="AG9" s="193"/>
      <c r="AJ9" s="3" t="s">
        <v>491</v>
      </c>
    </row>
    <row r="10" spans="1:39" s="1" customFormat="1" ht="33.75" x14ac:dyDescent="0.2">
      <c r="A10" s="248"/>
      <c r="B10" s="164" t="s">
        <v>621</v>
      </c>
      <c r="C10" s="19"/>
      <c r="D10" s="133"/>
      <c r="E10" s="128"/>
      <c r="F10" s="128"/>
      <c r="G10" s="128"/>
      <c r="H10" s="128"/>
      <c r="I10" s="128"/>
      <c r="J10" s="165"/>
      <c r="K10" s="212"/>
      <c r="L10" s="212"/>
      <c r="M10" s="212"/>
      <c r="N10" s="212"/>
      <c r="O10" s="213"/>
      <c r="P10" s="155">
        <f>SUM(P11)</f>
        <v>705758475</v>
      </c>
      <c r="Q10" s="155">
        <f>SUM(Q11)</f>
        <v>0</v>
      </c>
      <c r="R10" s="155">
        <f>SUM(R11)</f>
        <v>0</v>
      </c>
      <c r="S10" s="155">
        <f>SUM(P10:R10)/1000000</f>
        <v>705.75847499999998</v>
      </c>
      <c r="T10" s="155">
        <f>SUM(T11)</f>
        <v>776334322</v>
      </c>
      <c r="U10" s="155">
        <f>SUM(U11)</f>
        <v>0</v>
      </c>
      <c r="V10" s="155">
        <f>SUM(V11)</f>
        <v>0</v>
      </c>
      <c r="W10" s="155">
        <f>SUM(T10:V10)/1000000</f>
        <v>776.33432200000004</v>
      </c>
      <c r="X10" s="155">
        <f>SUM(X11)</f>
        <v>853967755</v>
      </c>
      <c r="Y10" s="155">
        <f>SUM(Y11)</f>
        <v>0</v>
      </c>
      <c r="Z10" s="155">
        <f>SUM(Z11)</f>
        <v>0</v>
      </c>
      <c r="AA10" s="155">
        <f>SUM(X10:Z10)/1000000</f>
        <v>853.96775500000001</v>
      </c>
      <c r="AB10" s="155">
        <f>SUM(AB11)</f>
        <v>939364530</v>
      </c>
      <c r="AC10" s="155">
        <f>SUM(AC11)</f>
        <v>0</v>
      </c>
      <c r="AD10" s="155">
        <f>SUM(AD11)</f>
        <v>0</v>
      </c>
      <c r="AE10" s="155">
        <f>SUM(AB10:AD10)/1000000</f>
        <v>939.36452999999995</v>
      </c>
      <c r="AF10" s="155">
        <f t="shared" si="0"/>
        <v>3275.4250819999997</v>
      </c>
      <c r="AG10" s="198"/>
      <c r="AH10" s="241">
        <f>+AF11</f>
        <v>3275425082</v>
      </c>
      <c r="AI10" s="126">
        <v>1392223983.05</v>
      </c>
      <c r="AJ10" s="126"/>
      <c r="AK10" s="126"/>
      <c r="AL10" s="126"/>
      <c r="AM10" s="126"/>
    </row>
    <row r="11" spans="1:39" s="1" customFormat="1" ht="33.75" hidden="1" x14ac:dyDescent="0.2">
      <c r="A11" s="248"/>
      <c r="B11" s="1563"/>
      <c r="C11" s="1689" t="s">
        <v>449</v>
      </c>
      <c r="D11" s="1449" t="s">
        <v>423</v>
      </c>
      <c r="E11" s="42"/>
      <c r="F11" s="42"/>
      <c r="G11" s="42"/>
      <c r="H11" s="42"/>
      <c r="I11" s="134" t="s">
        <v>450</v>
      </c>
      <c r="J11" s="167" t="s">
        <v>137</v>
      </c>
      <c r="K11" s="214">
        <v>11</v>
      </c>
      <c r="L11" s="214"/>
      <c r="M11" s="214">
        <v>1</v>
      </c>
      <c r="N11" s="214"/>
      <c r="O11" s="217">
        <f t="shared" ref="O11:O17" si="1">SUM(K11:N11)</f>
        <v>12</v>
      </c>
      <c r="P11" s="1787">
        <v>705758475</v>
      </c>
      <c r="Q11" s="1787"/>
      <c r="R11" s="1787"/>
      <c r="S11" s="1808">
        <f>SUM(P11:R11)</f>
        <v>705758475</v>
      </c>
      <c r="T11" s="1843">
        <v>776334322</v>
      </c>
      <c r="U11" s="1835"/>
      <c r="V11" s="1835"/>
      <c r="W11" s="1808">
        <f>SUM(T11:V11)</f>
        <v>776334322</v>
      </c>
      <c r="X11" s="1808">
        <v>853967755</v>
      </c>
      <c r="Y11" s="1808"/>
      <c r="Z11" s="1808"/>
      <c r="AA11" s="1808">
        <f>SUM(X11:Z11)</f>
        <v>853967755</v>
      </c>
      <c r="AB11" s="1808">
        <v>939364530</v>
      </c>
      <c r="AC11" s="1808"/>
      <c r="AD11" s="1808"/>
      <c r="AE11" s="1808">
        <f>SUM(AB11:AD11)</f>
        <v>939364530</v>
      </c>
      <c r="AF11" s="1808">
        <f t="shared" si="0"/>
        <v>3275425082</v>
      </c>
      <c r="AG11" s="193"/>
      <c r="AH11" s="242"/>
      <c r="AI11" s="118"/>
      <c r="AJ11" s="11"/>
      <c r="AK11" s="11"/>
      <c r="AL11" s="11"/>
      <c r="AM11" s="11"/>
    </row>
    <row r="12" spans="1:39" s="1" customFormat="1" ht="45" hidden="1" x14ac:dyDescent="0.2">
      <c r="A12" s="248"/>
      <c r="B12" s="1783"/>
      <c r="C12" s="1779"/>
      <c r="D12" s="1450"/>
      <c r="E12" s="42"/>
      <c r="F12" s="42"/>
      <c r="G12" s="42"/>
      <c r="H12" s="42"/>
      <c r="I12" s="134" t="s">
        <v>451</v>
      </c>
      <c r="J12" s="167" t="s">
        <v>137</v>
      </c>
      <c r="K12" s="214"/>
      <c r="L12" s="214">
        <v>11</v>
      </c>
      <c r="M12" s="214"/>
      <c r="N12" s="214">
        <v>1</v>
      </c>
      <c r="O12" s="217">
        <f t="shared" si="1"/>
        <v>12</v>
      </c>
      <c r="P12" s="1788"/>
      <c r="Q12" s="1788"/>
      <c r="R12" s="1788"/>
      <c r="S12" s="1808"/>
      <c r="T12" s="1843"/>
      <c r="U12" s="1835"/>
      <c r="V12" s="1835"/>
      <c r="W12" s="1808"/>
      <c r="X12" s="1808"/>
      <c r="Y12" s="1808"/>
      <c r="Z12" s="1808"/>
      <c r="AA12" s="1808"/>
      <c r="AB12" s="1808"/>
      <c r="AC12" s="1808"/>
      <c r="AD12" s="1808"/>
      <c r="AE12" s="1808"/>
      <c r="AF12" s="1808">
        <f t="shared" si="0"/>
        <v>0</v>
      </c>
      <c r="AG12" s="193"/>
      <c r="AH12" s="242"/>
      <c r="AI12" s="118"/>
      <c r="AJ12" s="11"/>
      <c r="AK12" s="11"/>
      <c r="AL12" s="11"/>
      <c r="AM12" s="11"/>
    </row>
    <row r="13" spans="1:39" s="1" customFormat="1" ht="50.25" hidden="1" customHeight="1" x14ac:dyDescent="0.2">
      <c r="A13" s="248"/>
      <c r="B13" s="1783"/>
      <c r="C13" s="41" t="s">
        <v>424</v>
      </c>
      <c r="D13" s="1451"/>
      <c r="E13" s="42"/>
      <c r="F13" s="42"/>
      <c r="G13" s="42"/>
      <c r="H13" s="42"/>
      <c r="I13" s="134" t="s">
        <v>188</v>
      </c>
      <c r="J13" s="167" t="s">
        <v>137</v>
      </c>
      <c r="K13" s="218">
        <v>7</v>
      </c>
      <c r="L13" s="219">
        <v>7</v>
      </c>
      <c r="M13" s="219">
        <v>7</v>
      </c>
      <c r="N13" s="219">
        <v>7</v>
      </c>
      <c r="O13" s="217">
        <f t="shared" si="1"/>
        <v>28</v>
      </c>
      <c r="P13" s="1788"/>
      <c r="Q13" s="1788"/>
      <c r="R13" s="1788"/>
      <c r="S13" s="1808">
        <f>SUM(P13:R13)</f>
        <v>0</v>
      </c>
      <c r="T13" s="1843"/>
      <c r="U13" s="1835"/>
      <c r="V13" s="1835"/>
      <c r="W13" s="1808">
        <f>SUM(T13:V13)</f>
        <v>0</v>
      </c>
      <c r="X13" s="1808"/>
      <c r="Y13" s="1808"/>
      <c r="Z13" s="1808"/>
      <c r="AA13" s="1808">
        <f>SUM(X13:Z13)</f>
        <v>0</v>
      </c>
      <c r="AB13" s="1808"/>
      <c r="AC13" s="1808"/>
      <c r="AD13" s="1808"/>
      <c r="AE13" s="1808">
        <f>SUM(AB13:AD13)</f>
        <v>0</v>
      </c>
      <c r="AF13" s="1808">
        <f t="shared" si="0"/>
        <v>0</v>
      </c>
      <c r="AG13" s="193"/>
      <c r="AH13" s="242"/>
      <c r="AI13" s="118"/>
      <c r="AJ13" s="11"/>
      <c r="AK13" s="11"/>
      <c r="AL13" s="11"/>
      <c r="AM13" s="11"/>
    </row>
    <row r="14" spans="1:39" s="1" customFormat="1" ht="33.75" hidden="1" x14ac:dyDescent="0.2">
      <c r="A14" s="248"/>
      <c r="B14" s="1783"/>
      <c r="C14" s="1689" t="s">
        <v>425</v>
      </c>
      <c r="D14" s="1449" t="s">
        <v>187</v>
      </c>
      <c r="E14" s="42"/>
      <c r="F14" s="42"/>
      <c r="G14" s="42"/>
      <c r="H14" s="42"/>
      <c r="I14" s="134" t="s">
        <v>426</v>
      </c>
      <c r="J14" s="167" t="s">
        <v>147</v>
      </c>
      <c r="K14" s="214">
        <v>20</v>
      </c>
      <c r="L14" s="214">
        <v>20</v>
      </c>
      <c r="M14" s="214">
        <v>20</v>
      </c>
      <c r="N14" s="214">
        <v>40</v>
      </c>
      <c r="O14" s="217">
        <f t="shared" si="1"/>
        <v>100</v>
      </c>
      <c r="P14" s="1788"/>
      <c r="Q14" s="1788"/>
      <c r="R14" s="1788"/>
      <c r="S14" s="1808">
        <f>SUM(P14:R14)</f>
        <v>0</v>
      </c>
      <c r="T14" s="1843"/>
      <c r="U14" s="1835"/>
      <c r="V14" s="1835"/>
      <c r="W14" s="1808">
        <f>SUM(T14:V14)</f>
        <v>0</v>
      </c>
      <c r="X14" s="1808"/>
      <c r="Y14" s="1808"/>
      <c r="Z14" s="1808"/>
      <c r="AA14" s="1808">
        <f>SUM(X14:Z14)</f>
        <v>0</v>
      </c>
      <c r="AB14" s="1808"/>
      <c r="AC14" s="1808"/>
      <c r="AD14" s="1808"/>
      <c r="AE14" s="1808">
        <f>SUM(AB14:AD14)</f>
        <v>0</v>
      </c>
      <c r="AF14" s="1808">
        <f t="shared" si="0"/>
        <v>0</v>
      </c>
      <c r="AG14" s="193"/>
      <c r="AH14" s="242"/>
      <c r="AI14" s="118"/>
      <c r="AJ14" s="11"/>
      <c r="AK14" s="11"/>
      <c r="AL14" s="11"/>
      <c r="AM14" s="11"/>
    </row>
    <row r="15" spans="1:39" s="1" customFormat="1" ht="45" hidden="1" x14ac:dyDescent="0.2">
      <c r="A15" s="248"/>
      <c r="B15" s="1564"/>
      <c r="C15" s="1779"/>
      <c r="D15" s="1451"/>
      <c r="E15" s="42"/>
      <c r="F15" s="42"/>
      <c r="G15" s="42"/>
      <c r="H15" s="42"/>
      <c r="I15" s="134" t="s">
        <v>452</v>
      </c>
      <c r="J15" s="167" t="s">
        <v>137</v>
      </c>
      <c r="K15" s="214"/>
      <c r="L15" s="214"/>
      <c r="M15" s="214"/>
      <c r="N15" s="214">
        <v>2</v>
      </c>
      <c r="O15" s="217">
        <f t="shared" si="1"/>
        <v>2</v>
      </c>
      <c r="P15" s="1789"/>
      <c r="Q15" s="1789"/>
      <c r="R15" s="1789"/>
      <c r="S15" s="1808">
        <f>SUM(P15:R15)</f>
        <v>0</v>
      </c>
      <c r="T15" s="1843"/>
      <c r="U15" s="1835"/>
      <c r="V15" s="1835">
        <f>SUM(V13:V14)</f>
        <v>0</v>
      </c>
      <c r="W15" s="1808">
        <f>SUM(T15:V15)</f>
        <v>0</v>
      </c>
      <c r="X15" s="1808"/>
      <c r="Y15" s="1808"/>
      <c r="Z15" s="1808"/>
      <c r="AA15" s="1808">
        <f>SUM(X15:Z15)</f>
        <v>0</v>
      </c>
      <c r="AB15" s="1808"/>
      <c r="AC15" s="1808"/>
      <c r="AD15" s="1808"/>
      <c r="AE15" s="1808">
        <f>SUM(AB15:AD15)</f>
        <v>0</v>
      </c>
      <c r="AF15" s="1808">
        <f t="shared" si="0"/>
        <v>0</v>
      </c>
      <c r="AG15" s="193"/>
      <c r="AH15" s="242"/>
      <c r="AI15" s="118"/>
      <c r="AJ15" s="11"/>
      <c r="AK15" s="11"/>
      <c r="AL15" s="11"/>
      <c r="AM15" s="11"/>
    </row>
    <row r="16" spans="1:39" s="1" customFormat="1" ht="22.5" x14ac:dyDescent="0.2">
      <c r="A16" s="248"/>
      <c r="B16" s="19" t="s">
        <v>574</v>
      </c>
      <c r="C16" s="19"/>
      <c r="D16" s="19"/>
      <c r="E16" s="128"/>
      <c r="F16" s="128"/>
      <c r="G16" s="128"/>
      <c r="H16" s="128"/>
      <c r="I16" s="19"/>
      <c r="J16" s="165"/>
      <c r="K16" s="212"/>
      <c r="L16" s="268"/>
      <c r="M16" s="268"/>
      <c r="N16" s="268"/>
      <c r="O16" s="268">
        <f t="shared" si="1"/>
        <v>0</v>
      </c>
      <c r="P16" s="155">
        <f>+P17</f>
        <v>0</v>
      </c>
      <c r="Q16" s="155">
        <f>+Q17</f>
        <v>0</v>
      </c>
      <c r="R16" s="155">
        <f>+R17</f>
        <v>0</v>
      </c>
      <c r="S16" s="155">
        <f>SUM(P16:R16)</f>
        <v>0</v>
      </c>
      <c r="T16" s="155">
        <f>+T17</f>
        <v>0</v>
      </c>
      <c r="U16" s="155">
        <f>+U17</f>
        <v>0</v>
      </c>
      <c r="V16" s="155">
        <f>+V17</f>
        <v>0</v>
      </c>
      <c r="W16" s="155">
        <f>SUM(T16:V16)</f>
        <v>0</v>
      </c>
      <c r="X16" s="155">
        <f>+X17</f>
        <v>80000000</v>
      </c>
      <c r="Y16" s="155">
        <f>+Y17</f>
        <v>0</v>
      </c>
      <c r="Z16" s="155">
        <f>+Z17</f>
        <v>1800000000</v>
      </c>
      <c r="AA16" s="155">
        <f>SUM(X16:Z16)/1000000</f>
        <v>1880</v>
      </c>
      <c r="AB16" s="155">
        <f>+AB17</f>
        <v>100000000</v>
      </c>
      <c r="AC16" s="155">
        <f>+AC17</f>
        <v>0</v>
      </c>
      <c r="AD16" s="155">
        <f>+AD17</f>
        <v>1800000000</v>
      </c>
      <c r="AE16" s="155">
        <f>SUM(AB16:AD16)/1000000</f>
        <v>1900</v>
      </c>
      <c r="AF16" s="155">
        <f t="shared" si="0"/>
        <v>3780</v>
      </c>
      <c r="AG16" s="198"/>
      <c r="AH16" s="193">
        <f>+AF17</f>
        <v>3780000000</v>
      </c>
      <c r="AI16" s="238"/>
      <c r="AJ16" s="7"/>
      <c r="AK16" s="269"/>
    </row>
    <row r="17" spans="1:39" s="1" customFormat="1" ht="33.75" hidden="1" x14ac:dyDescent="0.2">
      <c r="A17" s="248"/>
      <c r="B17" s="253"/>
      <c r="C17" s="250" t="s">
        <v>421</v>
      </c>
      <c r="D17" s="236" t="s">
        <v>561</v>
      </c>
      <c r="E17" s="152"/>
      <c r="F17" s="152"/>
      <c r="G17" s="152"/>
      <c r="H17" s="152"/>
      <c r="I17" s="41" t="s">
        <v>446</v>
      </c>
      <c r="J17" s="167" t="s">
        <v>147</v>
      </c>
      <c r="K17" s="214"/>
      <c r="L17" s="187"/>
      <c r="M17" s="187">
        <v>50</v>
      </c>
      <c r="N17" s="187">
        <v>50</v>
      </c>
      <c r="O17" s="187">
        <f t="shared" si="1"/>
        <v>100</v>
      </c>
      <c r="P17" s="256"/>
      <c r="Q17" s="256"/>
      <c r="R17" s="256"/>
      <c r="S17" s="270"/>
      <c r="T17" s="270"/>
      <c r="U17" s="270"/>
      <c r="V17" s="270"/>
      <c r="W17" s="270"/>
      <c r="X17" s="261">
        <v>80000000</v>
      </c>
      <c r="Y17" s="261"/>
      <c r="Z17" s="261">
        <v>1800000000</v>
      </c>
      <c r="AA17" s="261">
        <f>SUM(X17:Z17)</f>
        <v>1880000000</v>
      </c>
      <c r="AB17" s="261">
        <v>100000000</v>
      </c>
      <c r="AC17" s="261"/>
      <c r="AD17" s="261">
        <v>1800000000</v>
      </c>
      <c r="AE17" s="261">
        <f>SUM(AB17:AD17)</f>
        <v>1900000000</v>
      </c>
      <c r="AF17" s="261">
        <f t="shared" si="0"/>
        <v>3780000000</v>
      </c>
      <c r="AG17" s="193"/>
      <c r="AH17" s="193"/>
      <c r="AI17" s="118"/>
      <c r="AJ17" s="3"/>
      <c r="AK17" s="249"/>
    </row>
    <row r="18" spans="1:39" s="1" customFormat="1" ht="56.25" x14ac:dyDescent="0.2">
      <c r="A18" s="248"/>
      <c r="B18" s="277" t="s">
        <v>575</v>
      </c>
      <c r="C18" s="278"/>
      <c r="D18" s="278"/>
      <c r="E18" s="279"/>
      <c r="F18" s="279"/>
      <c r="G18" s="279"/>
      <c r="H18" s="279"/>
      <c r="I18" s="280"/>
      <c r="J18" s="281"/>
      <c r="K18" s="282"/>
      <c r="L18" s="282"/>
      <c r="M18" s="282"/>
      <c r="N18" s="282"/>
      <c r="O18" s="282"/>
      <c r="P18" s="195">
        <f>+P19</f>
        <v>0</v>
      </c>
      <c r="Q18" s="195">
        <f>+Q19</f>
        <v>0</v>
      </c>
      <c r="R18" s="195">
        <f>+R19</f>
        <v>0</v>
      </c>
      <c r="S18" s="155">
        <f>SUM(P18:R18)</f>
        <v>0</v>
      </c>
      <c r="T18" s="155">
        <f>+T19</f>
        <v>150000000</v>
      </c>
      <c r="U18" s="155">
        <f>+U19</f>
        <v>0</v>
      </c>
      <c r="V18" s="155">
        <f>+V19</f>
        <v>0</v>
      </c>
      <c r="W18" s="155">
        <f>SUM(T18:V18)/1000000</f>
        <v>150</v>
      </c>
      <c r="X18" s="155">
        <f>+X19</f>
        <v>150000000</v>
      </c>
      <c r="Y18" s="155">
        <f>+Y19</f>
        <v>0</v>
      </c>
      <c r="Z18" s="155">
        <f>+Z19</f>
        <v>0</v>
      </c>
      <c r="AA18" s="155">
        <f>SUM(X18:Z18)/1000000</f>
        <v>150</v>
      </c>
      <c r="AB18" s="155">
        <f>+AB19</f>
        <v>78496138</v>
      </c>
      <c r="AC18" s="155">
        <f>+AC19</f>
        <v>0</v>
      </c>
      <c r="AD18" s="155">
        <f>+AD19</f>
        <v>0</v>
      </c>
      <c r="AE18" s="155">
        <f>SUM(AB18:AD18)/1000000</f>
        <v>78.496138000000002</v>
      </c>
      <c r="AF18" s="155">
        <f t="shared" si="0"/>
        <v>378.49613799999997</v>
      </c>
      <c r="AG18" s="198"/>
      <c r="AH18" s="193">
        <f>+AF19</f>
        <v>378496138</v>
      </c>
      <c r="AI18" s="118"/>
      <c r="AJ18" s="3"/>
      <c r="AK18" s="249"/>
    </row>
    <row r="19" spans="1:39" s="1" customFormat="1" hidden="1" x14ac:dyDescent="0.2">
      <c r="A19" s="248"/>
      <c r="B19" s="1686"/>
      <c r="C19" s="1842" t="s">
        <v>465</v>
      </c>
      <c r="D19" s="1688" t="s">
        <v>566</v>
      </c>
      <c r="E19" s="6"/>
      <c r="F19" s="6"/>
      <c r="G19" s="6"/>
      <c r="H19" s="6"/>
      <c r="I19" s="43" t="s">
        <v>563</v>
      </c>
      <c r="J19" s="174" t="s">
        <v>137</v>
      </c>
      <c r="K19" s="217"/>
      <c r="L19" s="217">
        <v>1</v>
      </c>
      <c r="M19" s="229"/>
      <c r="N19" s="229"/>
      <c r="O19" s="217">
        <f>SUM(K19:N19)</f>
        <v>1</v>
      </c>
      <c r="P19" s="1690"/>
      <c r="Q19" s="1690"/>
      <c r="R19" s="1690"/>
      <c r="S19" s="1690"/>
      <c r="T19" s="1835">
        <v>150000000</v>
      </c>
      <c r="U19" s="1835"/>
      <c r="V19" s="1835"/>
      <c r="W19" s="1835">
        <f>SUM(T19:V19)</f>
        <v>150000000</v>
      </c>
      <c r="X19" s="1835">
        <v>150000000</v>
      </c>
      <c r="Y19" s="1835"/>
      <c r="Z19" s="1835"/>
      <c r="AA19" s="1835">
        <f>SUM(X19:Z19)</f>
        <v>150000000</v>
      </c>
      <c r="AB19" s="1835">
        <f>70000000+8496138</f>
        <v>78496138</v>
      </c>
      <c r="AC19" s="1835"/>
      <c r="AD19" s="1835"/>
      <c r="AE19" s="1835">
        <f>SUM(AB19:AD19)</f>
        <v>78496138</v>
      </c>
      <c r="AF19" s="1835">
        <f t="shared" si="0"/>
        <v>378496138</v>
      </c>
      <c r="AG19" s="332"/>
      <c r="AH19" s="193"/>
      <c r="AI19" s="118"/>
      <c r="AJ19" s="3"/>
      <c r="AK19" s="249"/>
    </row>
    <row r="20" spans="1:39" s="1" customFormat="1" ht="22.5" hidden="1" x14ac:dyDescent="0.2">
      <c r="A20" s="248"/>
      <c r="B20" s="1686"/>
      <c r="C20" s="1842"/>
      <c r="D20" s="1688"/>
      <c r="E20" s="10"/>
      <c r="F20" s="10"/>
      <c r="G20" s="10"/>
      <c r="H20" s="10"/>
      <c r="I20" s="43" t="s">
        <v>564</v>
      </c>
      <c r="J20" s="174" t="s">
        <v>137</v>
      </c>
      <c r="K20" s="217"/>
      <c r="L20" s="217"/>
      <c r="M20" s="217">
        <v>2</v>
      </c>
      <c r="N20" s="217"/>
      <c r="O20" s="217">
        <f>SUM(K20:N20)</f>
        <v>2</v>
      </c>
      <c r="P20" s="1690"/>
      <c r="Q20" s="1690"/>
      <c r="R20" s="1690"/>
      <c r="S20" s="1690"/>
      <c r="T20" s="1835"/>
      <c r="U20" s="1835"/>
      <c r="V20" s="1835"/>
      <c r="W20" s="1835">
        <f>SUM(T20:V20)</f>
        <v>0</v>
      </c>
      <c r="X20" s="1835"/>
      <c r="Y20" s="1835"/>
      <c r="Z20" s="1835"/>
      <c r="AA20" s="1835">
        <f>SUM(X20:Z20)</f>
        <v>0</v>
      </c>
      <c r="AB20" s="1835"/>
      <c r="AC20" s="1835"/>
      <c r="AD20" s="1835"/>
      <c r="AE20" s="1835">
        <f>SUM(AB20:AD20)</f>
        <v>0</v>
      </c>
      <c r="AF20" s="1835">
        <f t="shared" si="0"/>
        <v>0</v>
      </c>
      <c r="AG20" s="332"/>
      <c r="AH20" s="193"/>
      <c r="AI20" s="118"/>
      <c r="AJ20" s="3"/>
      <c r="AK20" s="249"/>
    </row>
    <row r="21" spans="1:39" s="1" customFormat="1" hidden="1" x14ac:dyDescent="0.2">
      <c r="A21" s="248"/>
      <c r="B21" s="1686"/>
      <c r="C21" s="1842"/>
      <c r="D21" s="1688"/>
      <c r="E21" s="10"/>
      <c r="F21" s="10"/>
      <c r="G21" s="10"/>
      <c r="H21" s="10"/>
      <c r="I21" s="174" t="s">
        <v>565</v>
      </c>
      <c r="J21" s="174" t="s">
        <v>137</v>
      </c>
      <c r="K21" s="217"/>
      <c r="L21" s="217"/>
      <c r="M21" s="217"/>
      <c r="N21" s="217">
        <v>1</v>
      </c>
      <c r="O21" s="217">
        <f>SUM(K21:N21)</f>
        <v>1</v>
      </c>
      <c r="P21" s="1690"/>
      <c r="Q21" s="1690"/>
      <c r="R21" s="1690"/>
      <c r="S21" s="1690">
        <f>SUM(P21:R21)</f>
        <v>0</v>
      </c>
      <c r="T21" s="1835"/>
      <c r="U21" s="1835"/>
      <c r="V21" s="1835"/>
      <c r="W21" s="1835">
        <f>SUM(T21:V21)</f>
        <v>0</v>
      </c>
      <c r="X21" s="1835"/>
      <c r="Y21" s="1835"/>
      <c r="Z21" s="1835"/>
      <c r="AA21" s="1835">
        <f>SUM(X21:Z21)</f>
        <v>0</v>
      </c>
      <c r="AB21" s="1835"/>
      <c r="AC21" s="1835"/>
      <c r="AD21" s="1835"/>
      <c r="AE21" s="1835">
        <f>SUM(AB21:AD21)</f>
        <v>0</v>
      </c>
      <c r="AF21" s="1835">
        <f t="shared" si="0"/>
        <v>0</v>
      </c>
      <c r="AG21" s="332"/>
      <c r="AH21" s="193"/>
      <c r="AI21" s="118"/>
      <c r="AJ21" s="3"/>
      <c r="AK21" s="249"/>
    </row>
    <row r="22" spans="1:39" s="1" customFormat="1" ht="22.5" hidden="1" x14ac:dyDescent="0.2">
      <c r="A22" s="248"/>
      <c r="B22" s="1687"/>
      <c r="C22" s="1446"/>
      <c r="D22" s="294" t="s">
        <v>568</v>
      </c>
      <c r="E22" s="295"/>
      <c r="F22" s="295"/>
      <c r="G22" s="295"/>
      <c r="H22" s="295"/>
      <c r="I22" s="296" t="s">
        <v>567</v>
      </c>
      <c r="J22" s="296" t="s">
        <v>147</v>
      </c>
      <c r="K22" s="295"/>
      <c r="L22" s="295">
        <v>100</v>
      </c>
      <c r="M22" s="295">
        <v>100</v>
      </c>
      <c r="N22" s="295">
        <v>100</v>
      </c>
      <c r="O22" s="295">
        <v>100</v>
      </c>
      <c r="P22" s="1691"/>
      <c r="Q22" s="1691"/>
      <c r="R22" s="1691"/>
      <c r="S22" s="1691"/>
      <c r="T22" s="1780"/>
      <c r="U22" s="1780"/>
      <c r="V22" s="1780"/>
      <c r="W22" s="1780"/>
      <c r="X22" s="1780"/>
      <c r="Y22" s="1780"/>
      <c r="Z22" s="1780"/>
      <c r="AA22" s="1780"/>
      <c r="AB22" s="1780"/>
      <c r="AC22" s="1780"/>
      <c r="AD22" s="1780"/>
      <c r="AE22" s="1780"/>
      <c r="AF22" s="1780"/>
      <c r="AG22" s="332"/>
      <c r="AH22" s="193"/>
      <c r="AI22" s="118"/>
      <c r="AJ22" s="3"/>
      <c r="AK22" s="249"/>
    </row>
    <row r="23" spans="1:39" s="1" customFormat="1" ht="22.5" x14ac:dyDescent="0.2">
      <c r="A23" s="303" t="s">
        <v>609</v>
      </c>
      <c r="B23" s="303" t="s">
        <v>609</v>
      </c>
      <c r="C23" s="311"/>
      <c r="D23" s="310"/>
      <c r="E23" s="312"/>
      <c r="F23" s="312"/>
      <c r="G23" s="312"/>
      <c r="H23" s="312"/>
      <c r="I23" s="313"/>
      <c r="J23" s="313"/>
      <c r="K23" s="312"/>
      <c r="L23" s="312"/>
      <c r="M23" s="312"/>
      <c r="N23" s="312"/>
      <c r="O23" s="312"/>
      <c r="P23" s="314">
        <f t="shared" ref="P23:AE23" si="2">+P24+P31+P34+P42+P46</f>
        <v>3681026671</v>
      </c>
      <c r="Q23" s="314">
        <f t="shared" si="2"/>
        <v>613758795</v>
      </c>
      <c r="R23" s="314">
        <f t="shared" si="2"/>
        <v>0</v>
      </c>
      <c r="S23" s="314">
        <f t="shared" si="2"/>
        <v>4294.7854660000003</v>
      </c>
      <c r="T23" s="314">
        <f t="shared" si="2"/>
        <v>3903724449</v>
      </c>
      <c r="U23" s="314">
        <f t="shared" si="2"/>
        <v>750000000</v>
      </c>
      <c r="V23" s="314">
        <f t="shared" si="2"/>
        <v>335023590</v>
      </c>
      <c r="W23" s="314">
        <f t="shared" si="2"/>
        <v>4988.7480390000001</v>
      </c>
      <c r="X23" s="314">
        <f t="shared" si="2"/>
        <v>4004680949</v>
      </c>
      <c r="Y23" s="314">
        <f t="shared" si="2"/>
        <v>750000000</v>
      </c>
      <c r="Z23" s="314">
        <f t="shared" si="2"/>
        <v>0</v>
      </c>
      <c r="AA23" s="314">
        <f t="shared" si="2"/>
        <v>4754.6809489999996</v>
      </c>
      <c r="AB23" s="314">
        <f t="shared" si="2"/>
        <v>4220950961</v>
      </c>
      <c r="AC23" s="314">
        <f t="shared" si="2"/>
        <v>750000000</v>
      </c>
      <c r="AD23" s="314">
        <f t="shared" si="2"/>
        <v>0</v>
      </c>
      <c r="AE23" s="314">
        <f t="shared" si="2"/>
        <v>4970.9509610000005</v>
      </c>
      <c r="AF23" s="308">
        <f t="shared" ref="AF23:AF34" si="3">+S23+W23+AA23+AE23</f>
        <v>19009.165414999999</v>
      </c>
      <c r="AG23" s="334">
        <f>+AF23/AF186*100</f>
        <v>3.5046396414085545E-4</v>
      </c>
      <c r="AH23" s="198"/>
      <c r="AI23" s="238"/>
      <c r="AJ23" s="7"/>
      <c r="AK23" s="269"/>
    </row>
    <row r="24" spans="1:39" s="1" customFormat="1" ht="56.25" x14ac:dyDescent="0.2">
      <c r="A24" s="248"/>
      <c r="B24" s="287" t="s">
        <v>608</v>
      </c>
      <c r="C24" s="286"/>
      <c r="D24" s="286"/>
      <c r="E24" s="297"/>
      <c r="F24" s="297"/>
      <c r="G24" s="297"/>
      <c r="H24" s="297"/>
      <c r="I24" s="298"/>
      <c r="J24" s="299"/>
      <c r="K24" s="300"/>
      <c r="L24" s="300"/>
      <c r="M24" s="300"/>
      <c r="N24" s="300"/>
      <c r="O24" s="301"/>
      <c r="P24" s="288">
        <f>SUM(P25:P30)</f>
        <v>779012872</v>
      </c>
      <c r="Q24" s="288">
        <f>SUM(Q25:Q30)</f>
        <v>613758795</v>
      </c>
      <c r="R24" s="288">
        <f>SUM(R25:R30)</f>
        <v>0</v>
      </c>
      <c r="S24" s="288">
        <f>SUM(P24:R24)/1000000</f>
        <v>1392.771667</v>
      </c>
      <c r="T24" s="288">
        <f>SUM(T25:T30)</f>
        <v>696883258</v>
      </c>
      <c r="U24" s="288">
        <f>SUM(U25:U30)</f>
        <v>750000000</v>
      </c>
      <c r="V24" s="288">
        <f>SUM(V25:V30)</f>
        <v>335023590</v>
      </c>
      <c r="W24" s="288">
        <f>SUM(T24:V24)/1000000</f>
        <v>1781.9068480000001</v>
      </c>
      <c r="X24" s="288">
        <f>SUM(X25:X30)</f>
        <v>702414756</v>
      </c>
      <c r="Y24" s="288">
        <f>SUM(Y25:Y30)</f>
        <v>750000000</v>
      </c>
      <c r="Z24" s="288">
        <f>SUM(Z25:Z30)</f>
        <v>0</v>
      </c>
      <c r="AA24" s="288">
        <f>SUM(X24:Z24)/1000000</f>
        <v>1452.4147559999999</v>
      </c>
      <c r="AB24" s="288">
        <f>SUM(AB25:AB30)</f>
        <v>820612199</v>
      </c>
      <c r="AC24" s="288">
        <f>SUM(AC25:AC30)</f>
        <v>750000000</v>
      </c>
      <c r="AD24" s="288">
        <f>SUM(AD25:AD30)</f>
        <v>0</v>
      </c>
      <c r="AE24" s="288">
        <f>SUM(AB24:AD24)/1000000</f>
        <v>1570.6121989999999</v>
      </c>
      <c r="AF24" s="302">
        <f t="shared" si="3"/>
        <v>6197.7054699999999</v>
      </c>
      <c r="AG24" s="198"/>
      <c r="AH24" s="193">
        <f>SUM(AF25:AF30)</f>
        <v>6197705470</v>
      </c>
      <c r="AI24" s="238"/>
      <c r="AJ24" s="7"/>
      <c r="AK24" s="7"/>
      <c r="AL24" s="7"/>
    </row>
    <row r="25" spans="1:39" s="1" customFormat="1" ht="33.75" hidden="1" x14ac:dyDescent="0.2">
      <c r="A25" s="248"/>
      <c r="B25" s="3"/>
      <c r="C25" s="1689" t="s">
        <v>442</v>
      </c>
      <c r="D25" s="1689" t="s">
        <v>414</v>
      </c>
      <c r="E25" s="42"/>
      <c r="F25" s="42"/>
      <c r="G25" s="42"/>
      <c r="H25" s="42"/>
      <c r="I25" s="50" t="s">
        <v>445</v>
      </c>
      <c r="J25" s="167" t="s">
        <v>137</v>
      </c>
      <c r="K25" s="214">
        <v>5</v>
      </c>
      <c r="L25" s="214">
        <v>5</v>
      </c>
      <c r="M25" s="214">
        <v>5</v>
      </c>
      <c r="N25" s="214">
        <v>6</v>
      </c>
      <c r="O25" s="215">
        <v>6</v>
      </c>
      <c r="P25" s="1529">
        <v>300000000</v>
      </c>
      <c r="Q25" s="1836">
        <v>613758795</v>
      </c>
      <c r="R25" s="1691"/>
      <c r="S25" s="1836">
        <f>SUM(P25:R25)</f>
        <v>913758795</v>
      </c>
      <c r="T25" s="1780">
        <v>262500000</v>
      </c>
      <c r="U25" s="1780">
        <v>375000000</v>
      </c>
      <c r="V25" s="1839"/>
      <c r="W25" s="1780">
        <f>SUM(T25:V25)</f>
        <v>637500000</v>
      </c>
      <c r="X25" s="1780">
        <v>262500000</v>
      </c>
      <c r="Y25" s="1780">
        <v>375000000</v>
      </c>
      <c r="Z25" s="1839"/>
      <c r="AA25" s="1787">
        <f>SUM(X25:Z25)</f>
        <v>637500000</v>
      </c>
      <c r="AB25" s="1780">
        <v>300000000</v>
      </c>
      <c r="AC25" s="1780">
        <v>375000000</v>
      </c>
      <c r="AD25" s="1839"/>
      <c r="AE25" s="1787">
        <f>SUM(AB25:AD25)</f>
        <v>675000000</v>
      </c>
      <c r="AF25" s="1833">
        <f t="shared" si="3"/>
        <v>2863758795</v>
      </c>
      <c r="AG25" s="333"/>
      <c r="AH25" s="193"/>
      <c r="AI25" s="118"/>
      <c r="AJ25" s="3"/>
      <c r="AK25" s="3"/>
      <c r="AL25" s="3"/>
    </row>
    <row r="26" spans="1:39" s="1" customFormat="1" ht="33.75" hidden="1" x14ac:dyDescent="0.2">
      <c r="A26" s="248"/>
      <c r="B26" s="258"/>
      <c r="C26" s="1778"/>
      <c r="D26" s="1779"/>
      <c r="E26" s="42"/>
      <c r="F26" s="42"/>
      <c r="G26" s="42"/>
      <c r="H26" s="42"/>
      <c r="I26" s="50" t="s">
        <v>443</v>
      </c>
      <c r="J26" s="167" t="s">
        <v>152</v>
      </c>
      <c r="K26" s="214">
        <v>550</v>
      </c>
      <c r="L26" s="214">
        <v>600</v>
      </c>
      <c r="M26" s="214">
        <v>650</v>
      </c>
      <c r="N26" s="214">
        <v>700</v>
      </c>
      <c r="O26" s="187">
        <f>SUM(K26:N26)</f>
        <v>2500</v>
      </c>
      <c r="P26" s="1531"/>
      <c r="Q26" s="1837"/>
      <c r="R26" s="1838"/>
      <c r="S26" s="1837"/>
      <c r="T26" s="1782"/>
      <c r="U26" s="1782"/>
      <c r="V26" s="1840"/>
      <c r="W26" s="1782"/>
      <c r="X26" s="1782"/>
      <c r="Y26" s="1782"/>
      <c r="Z26" s="1841"/>
      <c r="AA26" s="1789"/>
      <c r="AB26" s="1782"/>
      <c r="AC26" s="1782"/>
      <c r="AD26" s="1840"/>
      <c r="AE26" s="1789"/>
      <c r="AF26" s="1834">
        <f t="shared" si="3"/>
        <v>0</v>
      </c>
      <c r="AG26" s="333"/>
      <c r="AH26" s="193"/>
      <c r="AI26" s="118"/>
      <c r="AJ26" s="3"/>
      <c r="AK26" s="3"/>
      <c r="AL26" s="3"/>
    </row>
    <row r="27" spans="1:39" s="1" customFormat="1" ht="33.75" hidden="1" x14ac:dyDescent="0.2">
      <c r="A27" s="248"/>
      <c r="B27" s="258"/>
      <c r="C27" s="1778"/>
      <c r="D27" s="41" t="s">
        <v>417</v>
      </c>
      <c r="E27" s="42"/>
      <c r="F27" s="42"/>
      <c r="G27" s="42"/>
      <c r="H27" s="42"/>
      <c r="I27" s="41" t="s">
        <v>444</v>
      </c>
      <c r="J27" s="167" t="s">
        <v>152</v>
      </c>
      <c r="K27" s="214">
        <v>300</v>
      </c>
      <c r="L27" s="214">
        <v>350</v>
      </c>
      <c r="M27" s="214">
        <v>400</v>
      </c>
      <c r="N27" s="214">
        <v>450</v>
      </c>
      <c r="O27" s="187">
        <f>SUM(K27:N27)</f>
        <v>1500</v>
      </c>
      <c r="P27" s="183">
        <v>100000000</v>
      </c>
      <c r="Q27" s="261"/>
      <c r="R27" s="185"/>
      <c r="S27" s="261">
        <f>SUM(P27:R27)</f>
        <v>100000000</v>
      </c>
      <c r="T27" s="261">
        <v>100000000</v>
      </c>
      <c r="U27" s="190"/>
      <c r="V27" s="185"/>
      <c r="W27" s="261">
        <f>SUM(T27:V27)</f>
        <v>100000000</v>
      </c>
      <c r="X27" s="261">
        <v>100000000</v>
      </c>
      <c r="Y27" s="190"/>
      <c r="Z27" s="191"/>
      <c r="AA27" s="261">
        <f>SUM(X27:Z27)</f>
        <v>100000000</v>
      </c>
      <c r="AB27" s="261">
        <v>100000000</v>
      </c>
      <c r="AC27" s="190"/>
      <c r="AD27" s="261"/>
      <c r="AE27" s="261">
        <f>SUM(AB27:AD27)</f>
        <v>100000000</v>
      </c>
      <c r="AF27" s="261">
        <f t="shared" si="3"/>
        <v>400000000</v>
      </c>
      <c r="AG27" s="193"/>
      <c r="AH27" s="193"/>
      <c r="AI27" s="118"/>
      <c r="AJ27" s="3"/>
      <c r="AK27" s="3"/>
      <c r="AL27" s="3"/>
    </row>
    <row r="28" spans="1:39" s="1" customFormat="1" ht="22.5" hidden="1" x14ac:dyDescent="0.2">
      <c r="A28" s="248"/>
      <c r="B28" s="258"/>
      <c r="C28" s="1779"/>
      <c r="D28" s="41" t="s">
        <v>404</v>
      </c>
      <c r="E28" s="42"/>
      <c r="F28" s="42"/>
      <c r="G28" s="42"/>
      <c r="H28" s="42"/>
      <c r="I28" s="41" t="s">
        <v>418</v>
      </c>
      <c r="J28" s="167" t="s">
        <v>152</v>
      </c>
      <c r="K28" s="214">
        <v>700</v>
      </c>
      <c r="L28" s="214">
        <v>800</v>
      </c>
      <c r="M28" s="214">
        <v>900</v>
      </c>
      <c r="N28" s="214">
        <v>1000</v>
      </c>
      <c r="O28" s="187">
        <f>SUM(K28:N28)</f>
        <v>3400</v>
      </c>
      <c r="P28" s="183">
        <v>200000000</v>
      </c>
      <c r="Q28" s="122"/>
      <c r="R28" s="185"/>
      <c r="S28" s="261">
        <f>SUM(P28:R28)</f>
        <v>200000000</v>
      </c>
      <c r="T28" s="261">
        <v>150000000</v>
      </c>
      <c r="U28" s="261">
        <v>375000000</v>
      </c>
      <c r="V28" s="261">
        <v>335023590</v>
      </c>
      <c r="W28" s="261">
        <f>SUM(T28:V28)</f>
        <v>860023590</v>
      </c>
      <c r="X28" s="261">
        <v>150000000</v>
      </c>
      <c r="Y28" s="261">
        <v>375000000</v>
      </c>
      <c r="Z28" s="190"/>
      <c r="AA28" s="261">
        <f>SUM(X28:Z28)</f>
        <v>525000000</v>
      </c>
      <c r="AB28" s="261">
        <v>225000000</v>
      </c>
      <c r="AC28" s="261">
        <v>375000000</v>
      </c>
      <c r="AD28" s="190"/>
      <c r="AE28" s="261">
        <f>SUM(AB28:AD28)</f>
        <v>600000000</v>
      </c>
      <c r="AF28" s="261">
        <f t="shared" si="3"/>
        <v>2185023590</v>
      </c>
      <c r="AG28" s="193"/>
      <c r="AH28" s="193"/>
      <c r="AI28" s="118"/>
      <c r="AJ28" s="3"/>
      <c r="AK28" s="3"/>
      <c r="AL28" s="3"/>
    </row>
    <row r="29" spans="1:39" s="1" customFormat="1" ht="33.75" hidden="1" x14ac:dyDescent="0.2">
      <c r="A29" s="248"/>
      <c r="B29" s="258"/>
      <c r="C29" s="42" t="s">
        <v>402</v>
      </c>
      <c r="D29" s="41" t="s">
        <v>415</v>
      </c>
      <c r="E29" s="42"/>
      <c r="F29" s="42"/>
      <c r="G29" s="42"/>
      <c r="H29" s="42"/>
      <c r="I29" s="50" t="s">
        <v>443</v>
      </c>
      <c r="J29" s="167" t="s">
        <v>152</v>
      </c>
      <c r="K29" s="214">
        <v>45</v>
      </c>
      <c r="L29" s="214">
        <v>40</v>
      </c>
      <c r="M29" s="214">
        <v>55</v>
      </c>
      <c r="N29" s="214">
        <v>60</v>
      </c>
      <c r="O29" s="211">
        <f>SUM(K29:N29)</f>
        <v>200</v>
      </c>
      <c r="P29" s="183">
        <v>89506436</v>
      </c>
      <c r="Q29" s="122"/>
      <c r="R29" s="261"/>
      <c r="S29" s="261">
        <f>SUM(P29:R29)</f>
        <v>89506436</v>
      </c>
      <c r="T29" s="261">
        <v>92191629</v>
      </c>
      <c r="U29" s="185"/>
      <c r="V29" s="190"/>
      <c r="W29" s="261">
        <f>SUM(T29:V29)</f>
        <v>92191629</v>
      </c>
      <c r="X29" s="261">
        <v>94957378</v>
      </c>
      <c r="Y29" s="185"/>
      <c r="Z29" s="190"/>
      <c r="AA29" s="261">
        <f>SUM(X29:Z29)</f>
        <v>94957378</v>
      </c>
      <c r="AB29" s="261">
        <v>97806099.5</v>
      </c>
      <c r="AC29" s="185"/>
      <c r="AD29" s="190"/>
      <c r="AE29" s="261">
        <f>SUM(AB29:AD29)</f>
        <v>97806099.5</v>
      </c>
      <c r="AF29" s="261">
        <f t="shared" si="3"/>
        <v>374461542.5</v>
      </c>
      <c r="AG29" s="193"/>
      <c r="AH29" s="193"/>
      <c r="AI29" s="118"/>
      <c r="AJ29" s="3"/>
      <c r="AK29" s="3"/>
      <c r="AL29" s="3"/>
    </row>
    <row r="30" spans="1:39" s="1" customFormat="1" ht="33.75" hidden="1" x14ac:dyDescent="0.2">
      <c r="A30" s="248"/>
      <c r="B30" s="258"/>
      <c r="C30" s="42" t="s">
        <v>402</v>
      </c>
      <c r="D30" s="41" t="s">
        <v>416</v>
      </c>
      <c r="E30" s="42"/>
      <c r="F30" s="42"/>
      <c r="G30" s="42"/>
      <c r="H30" s="42"/>
      <c r="I30" s="41" t="s">
        <v>154</v>
      </c>
      <c r="J30" s="167" t="s">
        <v>137</v>
      </c>
      <c r="K30" s="214">
        <v>20</v>
      </c>
      <c r="L30" s="214">
        <v>30</v>
      </c>
      <c r="M30" s="214">
        <v>40</v>
      </c>
      <c r="N30" s="214">
        <v>50</v>
      </c>
      <c r="O30" s="211">
        <f>SUM(K30:N30)</f>
        <v>140</v>
      </c>
      <c r="P30" s="183">
        <v>89506436</v>
      </c>
      <c r="Q30" s="122"/>
      <c r="R30" s="261"/>
      <c r="S30" s="261">
        <f>SUM(P30:R30)</f>
        <v>89506436</v>
      </c>
      <c r="T30" s="261">
        <v>92191629</v>
      </c>
      <c r="U30" s="185"/>
      <c r="V30" s="190"/>
      <c r="W30" s="261">
        <f>SUM(T30:V30)</f>
        <v>92191629</v>
      </c>
      <c r="X30" s="261">
        <v>94957378</v>
      </c>
      <c r="Y30" s="185"/>
      <c r="Z30" s="190"/>
      <c r="AA30" s="261">
        <f>SUM(X30:Z30)</f>
        <v>94957378</v>
      </c>
      <c r="AB30" s="261">
        <v>97806099.5</v>
      </c>
      <c r="AC30" s="185"/>
      <c r="AD30" s="190"/>
      <c r="AE30" s="261">
        <f>SUM(AB30:AD30)</f>
        <v>97806099.5</v>
      </c>
      <c r="AF30" s="261">
        <f t="shared" si="3"/>
        <v>374461542.5</v>
      </c>
      <c r="AG30" s="193"/>
      <c r="AH30" s="193"/>
      <c r="AI30" s="118"/>
      <c r="AJ30" s="3"/>
      <c r="AK30" s="3"/>
      <c r="AL30" s="3"/>
    </row>
    <row r="31" spans="1:39" s="1" customFormat="1" ht="45" x14ac:dyDescent="0.2">
      <c r="A31" s="306"/>
      <c r="B31" s="19" t="s">
        <v>570</v>
      </c>
      <c r="C31" s="15"/>
      <c r="D31" s="17"/>
      <c r="E31" s="17"/>
      <c r="F31" s="17"/>
      <c r="G31" s="17"/>
      <c r="H31" s="17"/>
      <c r="I31" s="17"/>
      <c r="J31" s="177"/>
      <c r="K31" s="220"/>
      <c r="L31" s="220"/>
      <c r="M31" s="220"/>
      <c r="N31" s="220"/>
      <c r="O31" s="221"/>
      <c r="P31" s="186">
        <f>+P32</f>
        <v>2117275425</v>
      </c>
      <c r="Q31" s="186">
        <f>+Q32</f>
        <v>0</v>
      </c>
      <c r="R31" s="186">
        <f>+R32</f>
        <v>0</v>
      </c>
      <c r="S31" s="186">
        <f>SUM(P31:R31)/1000000</f>
        <v>2117.2754249999998</v>
      </c>
      <c r="T31" s="186">
        <f>+T32</f>
        <v>2368413879</v>
      </c>
      <c r="U31" s="186">
        <f>+U32</f>
        <v>0</v>
      </c>
      <c r="V31" s="186">
        <f>+V32</f>
        <v>0</v>
      </c>
      <c r="W31" s="186">
        <f>SUM(T31:V31)/1000000</f>
        <v>2368.4138790000002</v>
      </c>
      <c r="X31" s="186">
        <f>+X32</f>
        <v>2431167309</v>
      </c>
      <c r="Y31" s="186">
        <f>+Y32</f>
        <v>0</v>
      </c>
      <c r="Z31" s="186">
        <f>+Z32</f>
        <v>0</v>
      </c>
      <c r="AA31" s="186">
        <f>SUM(X31:Z31)/1000000</f>
        <v>2431.1673089999999</v>
      </c>
      <c r="AB31" s="186">
        <f>+AB32</f>
        <v>2492671222</v>
      </c>
      <c r="AC31" s="186">
        <f>+AC32</f>
        <v>0</v>
      </c>
      <c r="AD31" s="186">
        <f>+AD32</f>
        <v>0</v>
      </c>
      <c r="AE31" s="186">
        <f>SUM(AB31:AD31)/1000000</f>
        <v>2492.6712219999999</v>
      </c>
      <c r="AF31" s="155">
        <f t="shared" si="3"/>
        <v>9409.5278350000008</v>
      </c>
      <c r="AG31" s="198"/>
      <c r="AH31" s="241">
        <f>+AF32</f>
        <v>9409527835</v>
      </c>
      <c r="AI31" s="118">
        <v>774431727</v>
      </c>
      <c r="AJ31" s="11"/>
      <c r="AK31" s="11"/>
      <c r="AL31" s="11"/>
      <c r="AM31" s="11"/>
    </row>
    <row r="32" spans="1:39" s="1" customFormat="1" hidden="1" x14ac:dyDescent="0.2">
      <c r="A32" s="306"/>
      <c r="B32" s="1563"/>
      <c r="C32" s="1446" t="s">
        <v>421</v>
      </c>
      <c r="D32" s="1449" t="s">
        <v>428</v>
      </c>
      <c r="E32" s="42"/>
      <c r="F32" s="42"/>
      <c r="G32" s="42"/>
      <c r="H32" s="42"/>
      <c r="I32" s="1449" t="s">
        <v>524</v>
      </c>
      <c r="J32" s="1568" t="s">
        <v>147</v>
      </c>
      <c r="K32" s="1831">
        <v>100</v>
      </c>
      <c r="L32" s="1831">
        <v>100</v>
      </c>
      <c r="M32" s="1831">
        <v>100</v>
      </c>
      <c r="N32" s="1831">
        <v>100</v>
      </c>
      <c r="O32" s="1831">
        <v>100</v>
      </c>
      <c r="P32" s="1529">
        <v>2117275425</v>
      </c>
      <c r="Q32" s="1833"/>
      <c r="R32" s="1780"/>
      <c r="S32" s="1787">
        <f>SUM(P32:R32)</f>
        <v>2117275425</v>
      </c>
      <c r="T32" s="1787">
        <v>2368413879</v>
      </c>
      <c r="U32" s="1780"/>
      <c r="V32" s="1780"/>
      <c r="W32" s="1787">
        <f>SUM(T32:V32)</f>
        <v>2368413879</v>
      </c>
      <c r="X32" s="1787">
        <v>2431167309</v>
      </c>
      <c r="Y32" s="1787"/>
      <c r="Z32" s="1787"/>
      <c r="AA32" s="1787">
        <f>SUM(X32:Z32)</f>
        <v>2431167309</v>
      </c>
      <c r="AB32" s="1787">
        <v>2492671222</v>
      </c>
      <c r="AC32" s="1787"/>
      <c r="AD32" s="1787"/>
      <c r="AE32" s="1787">
        <f>SUM(AB32:AD32)</f>
        <v>2492671222</v>
      </c>
      <c r="AF32" s="1787">
        <f t="shared" si="3"/>
        <v>9409527835</v>
      </c>
      <c r="AG32" s="193"/>
      <c r="AH32" s="242"/>
      <c r="AI32" s="118"/>
      <c r="AJ32" s="11"/>
      <c r="AK32" s="11"/>
      <c r="AL32" s="11"/>
      <c r="AM32" s="11"/>
    </row>
    <row r="33" spans="1:39" s="1" customFormat="1" hidden="1" x14ac:dyDescent="0.2">
      <c r="A33" s="306"/>
      <c r="B33" s="1564"/>
      <c r="C33" s="1448"/>
      <c r="D33" s="1451"/>
      <c r="E33" s="42"/>
      <c r="F33" s="42"/>
      <c r="G33" s="42"/>
      <c r="H33" s="42"/>
      <c r="I33" s="1451"/>
      <c r="J33" s="1570"/>
      <c r="K33" s="1832"/>
      <c r="L33" s="1832">
        <v>1</v>
      </c>
      <c r="M33" s="1832">
        <v>1</v>
      </c>
      <c r="N33" s="1832">
        <v>1</v>
      </c>
      <c r="O33" s="1832">
        <f>SUM(K33:N33)</f>
        <v>3</v>
      </c>
      <c r="P33" s="1531"/>
      <c r="Q33" s="1834"/>
      <c r="R33" s="1782"/>
      <c r="S33" s="1789"/>
      <c r="T33" s="1789"/>
      <c r="U33" s="1782"/>
      <c r="V33" s="1782"/>
      <c r="W33" s="1789"/>
      <c r="X33" s="1789"/>
      <c r="Y33" s="1789"/>
      <c r="Z33" s="1789"/>
      <c r="AA33" s="1789">
        <f>SUM(X33:Z33)</f>
        <v>0</v>
      </c>
      <c r="AB33" s="1789"/>
      <c r="AC33" s="1789"/>
      <c r="AD33" s="1789"/>
      <c r="AE33" s="1789">
        <f>SUM(AB33:AD33)</f>
        <v>0</v>
      </c>
      <c r="AF33" s="1789">
        <f t="shared" si="3"/>
        <v>0</v>
      </c>
      <c r="AG33" s="193"/>
      <c r="AH33" s="242"/>
      <c r="AI33" s="118"/>
      <c r="AJ33" s="11"/>
      <c r="AK33" s="11"/>
      <c r="AL33" s="11"/>
      <c r="AM33" s="11"/>
    </row>
    <row r="34" spans="1:39" s="1" customFormat="1" ht="45" x14ac:dyDescent="0.2">
      <c r="A34" s="306"/>
      <c r="B34" s="19" t="s">
        <v>354</v>
      </c>
      <c r="C34" s="19"/>
      <c r="D34" s="128"/>
      <c r="E34" s="128"/>
      <c r="F34" s="128"/>
      <c r="G34" s="128"/>
      <c r="H34" s="128"/>
      <c r="I34" s="135"/>
      <c r="J34" s="165"/>
      <c r="K34" s="212"/>
      <c r="L34" s="212"/>
      <c r="M34" s="212"/>
      <c r="N34" s="212"/>
      <c r="O34" s="213"/>
      <c r="P34" s="155">
        <f>SUM(P35:P41)</f>
        <v>352879237</v>
      </c>
      <c r="Q34" s="155">
        <f>SUM(Q35:Q41)</f>
        <v>0</v>
      </c>
      <c r="R34" s="155">
        <f>SUM(R35:R41)</f>
        <v>0</v>
      </c>
      <c r="S34" s="155">
        <f>SUM(P34:R34)/1000000</f>
        <v>352.87923699999999</v>
      </c>
      <c r="T34" s="155">
        <f>SUM(T35:T41)</f>
        <v>390547312</v>
      </c>
      <c r="U34" s="155">
        <f>SUM(U35:U41)</f>
        <v>0</v>
      </c>
      <c r="V34" s="155">
        <f>SUM(V35:V41)</f>
        <v>0</v>
      </c>
      <c r="W34" s="155">
        <f>SUM(T34:V34)/1000000</f>
        <v>390.54731199999998</v>
      </c>
      <c r="X34" s="155">
        <f>SUM(X35:X41)</f>
        <v>408019284</v>
      </c>
      <c r="Y34" s="155">
        <f>SUM(Y35:Y41)</f>
        <v>0</v>
      </c>
      <c r="Z34" s="155">
        <f>SUM(Z35:Z41)</f>
        <v>0</v>
      </c>
      <c r="AA34" s="155">
        <f>SUM(X34:Z34)/1000000</f>
        <v>408.01928400000003</v>
      </c>
      <c r="AB34" s="155">
        <f>SUM(AB35:AB41)</f>
        <v>426303192</v>
      </c>
      <c r="AC34" s="155">
        <f>SUM(AC35:AC41)</f>
        <v>0</v>
      </c>
      <c r="AD34" s="155">
        <f>SUM(AD35:AD41)</f>
        <v>0</v>
      </c>
      <c r="AE34" s="155">
        <f>SUM(AB34:AD34)/1000000</f>
        <v>426.30319200000002</v>
      </c>
      <c r="AF34" s="155">
        <f t="shared" si="3"/>
        <v>1577.7490250000001</v>
      </c>
      <c r="AG34" s="198"/>
      <c r="AH34" s="241">
        <f>+AF35</f>
        <v>1577749025</v>
      </c>
      <c r="AI34" s="126">
        <v>158012029.27000001</v>
      </c>
      <c r="AJ34" s="126"/>
      <c r="AK34" s="126"/>
      <c r="AL34" s="126"/>
      <c r="AM34" s="126"/>
    </row>
    <row r="35" spans="1:39" s="1" customFormat="1" ht="22.5" hidden="1" x14ac:dyDescent="0.2">
      <c r="A35" s="306"/>
      <c r="B35" s="1563"/>
      <c r="C35" s="1446" t="s">
        <v>421</v>
      </c>
      <c r="D35" s="42" t="s">
        <v>357</v>
      </c>
      <c r="E35" s="42"/>
      <c r="F35" s="42"/>
      <c r="G35" s="42"/>
      <c r="H35" s="42"/>
      <c r="I35" s="41" t="s">
        <v>361</v>
      </c>
      <c r="J35" s="167" t="s">
        <v>137</v>
      </c>
      <c r="K35" s="214">
        <v>40</v>
      </c>
      <c r="L35" s="214">
        <v>40</v>
      </c>
      <c r="M35" s="214">
        <v>40</v>
      </c>
      <c r="N35" s="214">
        <v>40</v>
      </c>
      <c r="O35" s="222">
        <v>40</v>
      </c>
      <c r="P35" s="184">
        <v>140379237</v>
      </c>
      <c r="Q35" s="192"/>
      <c r="R35" s="184"/>
      <c r="S35" s="184">
        <f>SUM(P35:R35)</f>
        <v>140379237</v>
      </c>
      <c r="T35" s="1787">
        <v>390547312</v>
      </c>
      <c r="U35" s="1787"/>
      <c r="V35" s="1787"/>
      <c r="W35" s="1787">
        <f>SUM(T35:V35)</f>
        <v>390547312</v>
      </c>
      <c r="X35" s="1787">
        <v>408019284</v>
      </c>
      <c r="Y35" s="1787"/>
      <c r="Z35" s="1787"/>
      <c r="AA35" s="1787">
        <f>SUM(X35:Z35)</f>
        <v>408019284</v>
      </c>
      <c r="AB35" s="1787">
        <v>426303192</v>
      </c>
      <c r="AC35" s="1787"/>
      <c r="AD35" s="1787"/>
      <c r="AE35" s="1787">
        <f>SUM(AB35:AD35)</f>
        <v>426303192</v>
      </c>
      <c r="AF35" s="1787">
        <f>+S35+S36+S41+W35+AA35+AE35</f>
        <v>1577749025</v>
      </c>
      <c r="AG35" s="193"/>
      <c r="AH35" s="193"/>
      <c r="AI35" s="118"/>
      <c r="AJ35" s="130" t="s">
        <v>458</v>
      </c>
      <c r="AK35" s="11"/>
      <c r="AL35" s="11"/>
      <c r="AM35" s="11"/>
    </row>
    <row r="36" spans="1:39" s="1" customFormat="1" ht="56.25" hidden="1" x14ac:dyDescent="0.2">
      <c r="A36" s="306"/>
      <c r="B36" s="1783"/>
      <c r="C36" s="1447"/>
      <c r="D36" s="16" t="s">
        <v>355</v>
      </c>
      <c r="E36" s="136"/>
      <c r="F36" s="136"/>
      <c r="G36" s="136"/>
      <c r="H36" s="136"/>
      <c r="I36" s="134" t="s">
        <v>358</v>
      </c>
      <c r="J36" s="167" t="s">
        <v>147</v>
      </c>
      <c r="K36" s="214">
        <v>70</v>
      </c>
      <c r="L36" s="214">
        <v>70</v>
      </c>
      <c r="M36" s="214">
        <v>70</v>
      </c>
      <c r="N36" s="210">
        <v>70</v>
      </c>
      <c r="O36" s="222">
        <v>70</v>
      </c>
      <c r="P36" s="184">
        <v>172500000</v>
      </c>
      <c r="Q36" s="184"/>
      <c r="R36" s="184"/>
      <c r="S36" s="184">
        <f>SUM(P36:R36)</f>
        <v>172500000</v>
      </c>
      <c r="T36" s="1788"/>
      <c r="U36" s="1788"/>
      <c r="V36" s="1788"/>
      <c r="W36" s="1788">
        <f>SUM(T36:V36)</f>
        <v>0</v>
      </c>
      <c r="X36" s="1788"/>
      <c r="Y36" s="1788"/>
      <c r="Z36" s="1788"/>
      <c r="AA36" s="1788">
        <f>SUM(X36:Z36)</f>
        <v>0</v>
      </c>
      <c r="AB36" s="1788"/>
      <c r="AC36" s="1788"/>
      <c r="AD36" s="1788"/>
      <c r="AE36" s="1788">
        <f>SUM(AB36:AD36)</f>
        <v>0</v>
      </c>
      <c r="AF36" s="1788">
        <f t="shared" ref="AF36:AF49" si="4">+S36+W36+AA36+AE36</f>
        <v>172500000</v>
      </c>
      <c r="AG36" s="193"/>
      <c r="AH36" s="242"/>
      <c r="AI36" s="118"/>
      <c r="AJ36" s="11"/>
      <c r="AK36" s="11"/>
      <c r="AL36" s="11"/>
      <c r="AM36" s="11"/>
    </row>
    <row r="37" spans="1:39" s="1" customFormat="1" ht="45" hidden="1" x14ac:dyDescent="0.2">
      <c r="A37" s="306"/>
      <c r="B37" s="1783"/>
      <c r="C37" s="1447"/>
      <c r="D37" s="16" t="s">
        <v>455</v>
      </c>
      <c r="E37" s="136"/>
      <c r="F37" s="136"/>
      <c r="G37" s="136"/>
      <c r="H37" s="136"/>
      <c r="I37" s="134" t="s">
        <v>405</v>
      </c>
      <c r="J37" s="167" t="s">
        <v>147</v>
      </c>
      <c r="K37" s="214">
        <v>70</v>
      </c>
      <c r="L37" s="214">
        <v>70</v>
      </c>
      <c r="M37" s="214">
        <v>70</v>
      </c>
      <c r="N37" s="214">
        <v>70</v>
      </c>
      <c r="O37" s="222">
        <v>70</v>
      </c>
      <c r="P37" s="184"/>
      <c r="Q37" s="184"/>
      <c r="R37" s="184"/>
      <c r="S37" s="184">
        <f>SUM(P37:R37)</f>
        <v>0</v>
      </c>
      <c r="T37" s="1788"/>
      <c r="U37" s="1788"/>
      <c r="V37" s="1788"/>
      <c r="W37" s="1788">
        <f>SUM(T37:V37)</f>
        <v>0</v>
      </c>
      <c r="X37" s="1788"/>
      <c r="Y37" s="1788"/>
      <c r="Z37" s="1788"/>
      <c r="AA37" s="1788">
        <f>SUM(X37:Z37)</f>
        <v>0</v>
      </c>
      <c r="AB37" s="1788"/>
      <c r="AC37" s="1788"/>
      <c r="AD37" s="1788"/>
      <c r="AE37" s="1788">
        <f>SUM(AB37:AD37)</f>
        <v>0</v>
      </c>
      <c r="AF37" s="1788">
        <f t="shared" si="4"/>
        <v>0</v>
      </c>
      <c r="AG37" s="193"/>
      <c r="AH37" s="242"/>
      <c r="AI37" s="118"/>
      <c r="AJ37" s="11"/>
      <c r="AK37" s="11"/>
      <c r="AL37" s="11"/>
      <c r="AM37" s="11"/>
    </row>
    <row r="38" spans="1:39" s="1" customFormat="1" ht="67.5" hidden="1" x14ac:dyDescent="0.2">
      <c r="A38" s="306"/>
      <c r="B38" s="1783"/>
      <c r="C38" s="1447"/>
      <c r="D38" s="16" t="s">
        <v>456</v>
      </c>
      <c r="E38" s="136"/>
      <c r="F38" s="136"/>
      <c r="G38" s="136"/>
      <c r="H38" s="136"/>
      <c r="I38" s="137" t="s">
        <v>359</v>
      </c>
      <c r="J38" s="167" t="s">
        <v>147</v>
      </c>
      <c r="K38" s="214">
        <v>100</v>
      </c>
      <c r="L38" s="214">
        <v>100</v>
      </c>
      <c r="M38" s="214">
        <v>100</v>
      </c>
      <c r="N38" s="214">
        <v>100</v>
      </c>
      <c r="O38" s="222">
        <v>100</v>
      </c>
      <c r="P38" s="184"/>
      <c r="Q38" s="184"/>
      <c r="R38" s="184"/>
      <c r="S38" s="184">
        <f>SUM(P38:R38)</f>
        <v>0</v>
      </c>
      <c r="T38" s="1788"/>
      <c r="U38" s="1788"/>
      <c r="V38" s="1788"/>
      <c r="W38" s="1788">
        <f>SUM(T38:V38)</f>
        <v>0</v>
      </c>
      <c r="X38" s="1788"/>
      <c r="Y38" s="1788"/>
      <c r="Z38" s="1788"/>
      <c r="AA38" s="1788">
        <f>SUM(X38:Z38)</f>
        <v>0</v>
      </c>
      <c r="AB38" s="1788"/>
      <c r="AC38" s="1788"/>
      <c r="AD38" s="1788"/>
      <c r="AE38" s="1788">
        <f>SUM(AB38:AD38)</f>
        <v>0</v>
      </c>
      <c r="AF38" s="1788">
        <f t="shared" si="4"/>
        <v>0</v>
      </c>
      <c r="AG38" s="193"/>
      <c r="AH38" s="242"/>
      <c r="AI38" s="118"/>
      <c r="AJ38" s="11"/>
      <c r="AK38" s="11"/>
      <c r="AL38" s="11"/>
      <c r="AM38" s="11"/>
    </row>
    <row r="39" spans="1:39" s="1" customFormat="1" ht="45" hidden="1" x14ac:dyDescent="0.2">
      <c r="A39" s="306"/>
      <c r="B39" s="1783"/>
      <c r="C39" s="1447"/>
      <c r="D39" s="1449" t="s">
        <v>457</v>
      </c>
      <c r="E39" s="160"/>
      <c r="F39" s="160"/>
      <c r="G39" s="160"/>
      <c r="H39" s="160"/>
      <c r="I39" s="137" t="s">
        <v>453</v>
      </c>
      <c r="J39" s="167" t="s">
        <v>137</v>
      </c>
      <c r="K39" s="223">
        <v>124</v>
      </c>
      <c r="L39" s="223">
        <v>124</v>
      </c>
      <c r="M39" s="223">
        <v>124</v>
      </c>
      <c r="N39" s="223">
        <v>124</v>
      </c>
      <c r="O39" s="222">
        <v>124</v>
      </c>
      <c r="P39" s="184"/>
      <c r="Q39" s="184"/>
      <c r="R39" s="184"/>
      <c r="S39" s="184"/>
      <c r="T39" s="1788"/>
      <c r="U39" s="1788"/>
      <c r="V39" s="1788"/>
      <c r="W39" s="1788"/>
      <c r="X39" s="1788"/>
      <c r="Y39" s="1788"/>
      <c r="Z39" s="1788"/>
      <c r="AA39" s="1788"/>
      <c r="AB39" s="1788"/>
      <c r="AC39" s="1788"/>
      <c r="AD39" s="1788"/>
      <c r="AE39" s="1788"/>
      <c r="AF39" s="1788">
        <f t="shared" si="4"/>
        <v>0</v>
      </c>
      <c r="AG39" s="193"/>
      <c r="AH39" s="241"/>
      <c r="AI39" s="118"/>
      <c r="AJ39" s="11"/>
      <c r="AK39" s="11"/>
      <c r="AL39" s="11"/>
      <c r="AM39" s="11"/>
    </row>
    <row r="40" spans="1:39" s="1" customFormat="1" ht="45" hidden="1" x14ac:dyDescent="0.2">
      <c r="A40" s="306"/>
      <c r="B40" s="1783"/>
      <c r="C40" s="1448"/>
      <c r="D40" s="1451"/>
      <c r="E40" s="160"/>
      <c r="F40" s="160"/>
      <c r="G40" s="160"/>
      <c r="H40" s="160"/>
      <c r="I40" s="45" t="s">
        <v>406</v>
      </c>
      <c r="J40" s="167" t="s">
        <v>379</v>
      </c>
      <c r="K40" s="214">
        <v>70</v>
      </c>
      <c r="L40" s="214">
        <v>70</v>
      </c>
      <c r="M40" s="214">
        <v>70</v>
      </c>
      <c r="N40" s="214">
        <v>70</v>
      </c>
      <c r="O40" s="222">
        <v>70</v>
      </c>
      <c r="P40" s="184"/>
      <c r="Q40" s="184"/>
      <c r="R40" s="184"/>
      <c r="S40" s="184"/>
      <c r="T40" s="1788"/>
      <c r="U40" s="1788"/>
      <c r="V40" s="1788"/>
      <c r="W40" s="1788"/>
      <c r="X40" s="1788"/>
      <c r="Y40" s="1788"/>
      <c r="Z40" s="1788"/>
      <c r="AA40" s="1788"/>
      <c r="AB40" s="1788"/>
      <c r="AC40" s="1788"/>
      <c r="AD40" s="1788"/>
      <c r="AE40" s="1788"/>
      <c r="AF40" s="1788">
        <f t="shared" si="4"/>
        <v>0</v>
      </c>
      <c r="AG40" s="193"/>
      <c r="AH40" s="241"/>
      <c r="AI40" s="118"/>
      <c r="AJ40" s="161" t="s">
        <v>454</v>
      </c>
      <c r="AK40" s="11"/>
      <c r="AL40" s="11"/>
      <c r="AM40" s="11"/>
    </row>
    <row r="41" spans="1:39" s="1" customFormat="1" ht="22.5" hidden="1" x14ac:dyDescent="0.2">
      <c r="A41" s="306"/>
      <c r="B41" s="1564"/>
      <c r="C41" s="41" t="s">
        <v>433</v>
      </c>
      <c r="D41" s="41" t="s">
        <v>356</v>
      </c>
      <c r="E41" s="138"/>
      <c r="F41" s="138"/>
      <c r="G41" s="138"/>
      <c r="H41" s="138"/>
      <c r="I41" s="137" t="s">
        <v>360</v>
      </c>
      <c r="J41" s="167" t="s">
        <v>137</v>
      </c>
      <c r="K41" s="214">
        <v>1</v>
      </c>
      <c r="L41" s="214">
        <v>1</v>
      </c>
      <c r="M41" s="214">
        <v>1</v>
      </c>
      <c r="N41" s="214">
        <v>1</v>
      </c>
      <c r="O41" s="217">
        <v>4</v>
      </c>
      <c r="P41" s="184">
        <v>40000000</v>
      </c>
      <c r="Q41" s="184"/>
      <c r="R41" s="184"/>
      <c r="S41" s="184">
        <f>SUM(P41:R41)</f>
        <v>40000000</v>
      </c>
      <c r="T41" s="1789"/>
      <c r="U41" s="1789"/>
      <c r="V41" s="1789"/>
      <c r="W41" s="1789">
        <f>SUM(T41:V41)</f>
        <v>0</v>
      </c>
      <c r="X41" s="1789"/>
      <c r="Y41" s="1789"/>
      <c r="Z41" s="1789"/>
      <c r="AA41" s="1789">
        <f>SUM(X41:Z41)</f>
        <v>0</v>
      </c>
      <c r="AB41" s="1789"/>
      <c r="AC41" s="1789"/>
      <c r="AD41" s="1789"/>
      <c r="AE41" s="1789">
        <f>SUM(AB41:AD41)</f>
        <v>0</v>
      </c>
      <c r="AF41" s="1789">
        <f t="shared" si="4"/>
        <v>40000000</v>
      </c>
      <c r="AG41" s="193"/>
      <c r="AH41" s="242"/>
      <c r="AI41" s="118"/>
      <c r="AJ41" s="11"/>
      <c r="AK41" s="11"/>
      <c r="AL41" s="11"/>
      <c r="AM41" s="11"/>
    </row>
    <row r="42" spans="1:39" s="1" customFormat="1" ht="56.25" x14ac:dyDescent="0.2">
      <c r="A42" s="306"/>
      <c r="B42" s="19" t="s">
        <v>525</v>
      </c>
      <c r="C42" s="19"/>
      <c r="D42" s="129"/>
      <c r="E42" s="139"/>
      <c r="F42" s="139"/>
      <c r="G42" s="139"/>
      <c r="H42" s="139"/>
      <c r="I42" s="140"/>
      <c r="J42" s="171"/>
      <c r="K42" s="213"/>
      <c r="L42" s="213"/>
      <c r="M42" s="213"/>
      <c r="N42" s="213"/>
      <c r="O42" s="213"/>
      <c r="P42" s="155">
        <f>SUM(P43:P45)</f>
        <v>208621494</v>
      </c>
      <c r="Q42" s="155">
        <f>SUM(Q43:Q45)</f>
        <v>0</v>
      </c>
      <c r="R42" s="155">
        <f>SUM(R43:R45)</f>
        <v>0</v>
      </c>
      <c r="S42" s="155">
        <f>SUM(P42:R42)/1000000</f>
        <v>208.62149400000001</v>
      </c>
      <c r="T42" s="155">
        <f>SUM(T43:T45)</f>
        <v>214000000</v>
      </c>
      <c r="U42" s="155">
        <f>SUM(U43:U45)</f>
        <v>0</v>
      </c>
      <c r="V42" s="155">
        <f>SUM(V43:V45)</f>
        <v>0</v>
      </c>
      <c r="W42" s="155">
        <f>SUM(T42:V42)/1000000</f>
        <v>214</v>
      </c>
      <c r="X42" s="155">
        <f>SUM(X43:X45)</f>
        <v>218000000</v>
      </c>
      <c r="Y42" s="155">
        <f>SUM(Y43:Y45)</f>
        <v>0</v>
      </c>
      <c r="Z42" s="155">
        <f>SUM(Z43:Z45)</f>
        <v>0</v>
      </c>
      <c r="AA42" s="155">
        <f>SUM(X42:Z42)/1000000</f>
        <v>218</v>
      </c>
      <c r="AB42" s="155">
        <f>SUM(AB43:AB45)</f>
        <v>224540000</v>
      </c>
      <c r="AC42" s="155">
        <f>SUM(AC43:AC45)</f>
        <v>0</v>
      </c>
      <c r="AD42" s="155">
        <f>SUM(AD43:AD45)</f>
        <v>0</v>
      </c>
      <c r="AE42" s="155">
        <f>SUM(AB42:AD42)/1000000</f>
        <v>224.54</v>
      </c>
      <c r="AF42" s="155">
        <f t="shared" si="4"/>
        <v>865.16149399999995</v>
      </c>
      <c r="AG42" s="198"/>
      <c r="AH42" s="193">
        <f>+AF43</f>
        <v>865161494</v>
      </c>
      <c r="AI42" s="126">
        <v>233083746.90000001</v>
      </c>
      <c r="AJ42" s="11" t="s">
        <v>459</v>
      </c>
      <c r="AK42" s="126"/>
      <c r="AL42" s="126"/>
      <c r="AM42" s="126"/>
    </row>
    <row r="43" spans="1:39" s="1" customFormat="1" ht="11.25" hidden="1" x14ac:dyDescent="0.2">
      <c r="A43" s="306"/>
      <c r="B43" s="1563"/>
      <c r="C43" s="1446" t="s">
        <v>421</v>
      </c>
      <c r="D43" s="1446" t="s">
        <v>51</v>
      </c>
      <c r="E43" s="138"/>
      <c r="F43" s="138"/>
      <c r="G43" s="138"/>
      <c r="H43" s="138"/>
      <c r="I43" s="137" t="s">
        <v>140</v>
      </c>
      <c r="J43" s="46" t="s">
        <v>141</v>
      </c>
      <c r="K43" s="217">
        <v>50</v>
      </c>
      <c r="L43" s="217">
        <v>50</v>
      </c>
      <c r="M43" s="217">
        <v>50</v>
      </c>
      <c r="N43" s="217">
        <v>50</v>
      </c>
      <c r="O43" s="217">
        <v>50</v>
      </c>
      <c r="P43" s="1529">
        <v>208621494</v>
      </c>
      <c r="Q43" s="1529"/>
      <c r="R43" s="1529"/>
      <c r="S43" s="1529">
        <f>SUM(P43:R43)</f>
        <v>208621494</v>
      </c>
      <c r="T43" s="1529">
        <v>214000000</v>
      </c>
      <c r="U43" s="1529"/>
      <c r="V43" s="1529"/>
      <c r="W43" s="1529">
        <f>SUM(T43:V43)</f>
        <v>214000000</v>
      </c>
      <c r="X43" s="1529">
        <v>218000000</v>
      </c>
      <c r="Y43" s="1529"/>
      <c r="Z43" s="1529"/>
      <c r="AA43" s="1529">
        <f>SUM(X43:Z43)</f>
        <v>218000000</v>
      </c>
      <c r="AB43" s="1529">
        <f>+ROUND(X43*0.03,0)+X43</f>
        <v>224540000</v>
      </c>
      <c r="AC43" s="1529"/>
      <c r="AD43" s="1529"/>
      <c r="AE43" s="1529">
        <f>SUM(AB43:AD43)</f>
        <v>224540000</v>
      </c>
      <c r="AF43" s="1529">
        <f t="shared" si="4"/>
        <v>865161494</v>
      </c>
      <c r="AG43" s="193"/>
      <c r="AH43" s="193"/>
      <c r="AI43" s="118"/>
      <c r="AJ43" s="11" t="s">
        <v>175</v>
      </c>
      <c r="AK43" s="11"/>
      <c r="AL43" s="11"/>
      <c r="AM43" s="11"/>
    </row>
    <row r="44" spans="1:39" s="1" customFormat="1" ht="78.75" hidden="1" x14ac:dyDescent="0.2">
      <c r="A44" s="306"/>
      <c r="B44" s="1783"/>
      <c r="C44" s="1447"/>
      <c r="D44" s="1447"/>
      <c r="E44" s="138"/>
      <c r="F44" s="138"/>
      <c r="G44" s="138"/>
      <c r="H44" s="138"/>
      <c r="I44" s="137" t="s">
        <v>530</v>
      </c>
      <c r="J44" s="46" t="s">
        <v>141</v>
      </c>
      <c r="K44" s="217">
        <v>40</v>
      </c>
      <c r="L44" s="217">
        <v>40</v>
      </c>
      <c r="M44" s="217">
        <v>40</v>
      </c>
      <c r="N44" s="217">
        <v>40</v>
      </c>
      <c r="O44" s="217">
        <v>40</v>
      </c>
      <c r="P44" s="1530"/>
      <c r="Q44" s="1530"/>
      <c r="R44" s="1530"/>
      <c r="S44" s="1530">
        <f>SUM(P44:R44)</f>
        <v>0</v>
      </c>
      <c r="T44" s="1530"/>
      <c r="U44" s="1530"/>
      <c r="V44" s="1530"/>
      <c r="W44" s="1530">
        <f>SUM(T44:V44)</f>
        <v>0</v>
      </c>
      <c r="X44" s="1530"/>
      <c r="Y44" s="1530"/>
      <c r="Z44" s="1530"/>
      <c r="AA44" s="1530">
        <f>SUM(X44:Z44)</f>
        <v>0</v>
      </c>
      <c r="AB44" s="1530"/>
      <c r="AC44" s="1530"/>
      <c r="AD44" s="1530"/>
      <c r="AE44" s="1530">
        <f>SUM(AB44:AD44)</f>
        <v>0</v>
      </c>
      <c r="AF44" s="1530">
        <f t="shared" si="4"/>
        <v>0</v>
      </c>
      <c r="AG44" s="193"/>
      <c r="AH44" s="193"/>
      <c r="AI44" s="118"/>
      <c r="AJ44" s="11" t="s">
        <v>448</v>
      </c>
      <c r="AK44" s="11"/>
      <c r="AL44" s="11"/>
      <c r="AM44" s="11"/>
    </row>
    <row r="45" spans="1:39" s="1" customFormat="1" ht="33.75" hidden="1" x14ac:dyDescent="0.2">
      <c r="A45" s="306"/>
      <c r="B45" s="1783"/>
      <c r="C45" s="1447"/>
      <c r="D45" s="1447"/>
      <c r="E45" s="138"/>
      <c r="F45" s="138"/>
      <c r="G45" s="138"/>
      <c r="H45" s="138"/>
      <c r="I45" s="137" t="s">
        <v>529</v>
      </c>
      <c r="J45" s="46" t="s">
        <v>137</v>
      </c>
      <c r="K45" s="217">
        <v>300</v>
      </c>
      <c r="L45" s="217">
        <v>300</v>
      </c>
      <c r="M45" s="217">
        <v>300</v>
      </c>
      <c r="N45" s="217">
        <v>300</v>
      </c>
      <c r="O45" s="187">
        <f>+K45+L45+M45+N45</f>
        <v>1200</v>
      </c>
      <c r="P45" s="1531"/>
      <c r="Q45" s="1531"/>
      <c r="R45" s="1531"/>
      <c r="S45" s="1531">
        <f>SUM(P45:R45)</f>
        <v>0</v>
      </c>
      <c r="T45" s="1531"/>
      <c r="U45" s="1531"/>
      <c r="V45" s="1531"/>
      <c r="W45" s="1531">
        <f>SUM(T45:V45)</f>
        <v>0</v>
      </c>
      <c r="X45" s="1531"/>
      <c r="Y45" s="1531"/>
      <c r="Z45" s="1531"/>
      <c r="AA45" s="1531">
        <f>SUM(X45:Z45)</f>
        <v>0</v>
      </c>
      <c r="AB45" s="1531"/>
      <c r="AC45" s="1531"/>
      <c r="AD45" s="1531"/>
      <c r="AE45" s="1531">
        <f>SUM(AB45:AD45)</f>
        <v>0</v>
      </c>
      <c r="AF45" s="1531">
        <f t="shared" si="4"/>
        <v>0</v>
      </c>
      <c r="AG45" s="193"/>
      <c r="AH45" s="193"/>
      <c r="AI45" s="118"/>
      <c r="AJ45" s="11"/>
      <c r="AK45" s="11"/>
      <c r="AL45" s="11"/>
      <c r="AM45" s="11"/>
    </row>
    <row r="46" spans="1:39" s="1" customFormat="1" ht="90" x14ac:dyDescent="0.2">
      <c r="A46" s="307"/>
      <c r="B46" s="19" t="s">
        <v>571</v>
      </c>
      <c r="C46" s="19"/>
      <c r="D46" s="19"/>
      <c r="E46" s="139"/>
      <c r="F46" s="139"/>
      <c r="G46" s="139"/>
      <c r="H46" s="139"/>
      <c r="I46" s="139"/>
      <c r="J46" s="172"/>
      <c r="K46" s="213"/>
      <c r="L46" s="213"/>
      <c r="M46" s="213"/>
      <c r="N46" s="213"/>
      <c r="O46" s="213"/>
      <c r="P46" s="155">
        <f>+P47</f>
        <v>223237643</v>
      </c>
      <c r="Q46" s="155">
        <f>+Q47</f>
        <v>0</v>
      </c>
      <c r="R46" s="155">
        <f>+R47</f>
        <v>0</v>
      </c>
      <c r="S46" s="155">
        <f>SUM(P46:R46)/1000000</f>
        <v>223.23764299999999</v>
      </c>
      <c r="T46" s="155">
        <f>+T47</f>
        <v>233880000</v>
      </c>
      <c r="U46" s="155">
        <f>+U47</f>
        <v>0</v>
      </c>
      <c r="V46" s="155">
        <f>+V47</f>
        <v>0</v>
      </c>
      <c r="W46" s="155">
        <f>SUM(T46:V46)/1000000</f>
        <v>233.88</v>
      </c>
      <c r="X46" s="155">
        <f>+X47</f>
        <v>245079600</v>
      </c>
      <c r="Y46" s="155">
        <f>+Y47</f>
        <v>0</v>
      </c>
      <c r="Z46" s="155">
        <f>+Z47</f>
        <v>0</v>
      </c>
      <c r="AA46" s="155">
        <f>SUM(X46:Z46)/1000000</f>
        <v>245.0796</v>
      </c>
      <c r="AB46" s="155">
        <f>+AB47</f>
        <v>256824348</v>
      </c>
      <c r="AC46" s="155">
        <f>+AC47</f>
        <v>0</v>
      </c>
      <c r="AD46" s="155">
        <f>+AD47</f>
        <v>0</v>
      </c>
      <c r="AE46" s="155">
        <f>SUM(AB46:AD46)/1000000</f>
        <v>256.82434799999999</v>
      </c>
      <c r="AF46" s="155">
        <f t="shared" si="4"/>
        <v>959.02159099999994</v>
      </c>
      <c r="AG46" s="198"/>
      <c r="AH46" s="193">
        <f>+AF47</f>
        <v>959021591</v>
      </c>
      <c r="AI46" s="238"/>
      <c r="AJ46" s="7"/>
      <c r="AK46" s="7"/>
      <c r="AL46" s="7"/>
      <c r="AM46" s="7"/>
    </row>
    <row r="47" spans="1:39" s="1" customFormat="1" ht="33.75" hidden="1" x14ac:dyDescent="0.2">
      <c r="A47" s="307"/>
      <c r="B47" s="41"/>
      <c r="C47" s="41" t="s">
        <v>547</v>
      </c>
      <c r="D47" s="41" t="s">
        <v>546</v>
      </c>
      <c r="E47" s="145"/>
      <c r="F47" s="145"/>
      <c r="G47" s="145"/>
      <c r="H47" s="145"/>
      <c r="I47" s="145" t="s">
        <v>548</v>
      </c>
      <c r="J47" s="174" t="s">
        <v>507</v>
      </c>
      <c r="K47" s="217">
        <v>50</v>
      </c>
      <c r="L47" s="217">
        <v>50</v>
      </c>
      <c r="M47" s="217">
        <v>50</v>
      </c>
      <c r="N47" s="217">
        <v>50</v>
      </c>
      <c r="O47" s="217">
        <f>SUM(K47:N47)</f>
        <v>200</v>
      </c>
      <c r="P47" s="183">
        <f>199237643+24000000</f>
        <v>223237643</v>
      </c>
      <c r="Q47" s="183"/>
      <c r="R47" s="261"/>
      <c r="S47" s="261">
        <f>SUM(P47:R47)</f>
        <v>223237643</v>
      </c>
      <c r="T47" s="261">
        <v>233880000</v>
      </c>
      <c r="U47" s="261"/>
      <c r="V47" s="261"/>
      <c r="W47" s="261">
        <f>SUM(T47:V47)</f>
        <v>233880000</v>
      </c>
      <c r="X47" s="261">
        <v>245079600</v>
      </c>
      <c r="Y47" s="261"/>
      <c r="Z47" s="261"/>
      <c r="AA47" s="261">
        <f>SUM(X47:Z47)</f>
        <v>245079600</v>
      </c>
      <c r="AB47" s="261">
        <v>256824348</v>
      </c>
      <c r="AC47" s="261"/>
      <c r="AD47" s="261"/>
      <c r="AE47" s="261">
        <f>SUM(AB47:AD47)</f>
        <v>256824348</v>
      </c>
      <c r="AF47" s="261">
        <f t="shared" si="4"/>
        <v>959021591</v>
      </c>
      <c r="AG47" s="193"/>
      <c r="AH47" s="193"/>
      <c r="AI47" s="118"/>
      <c r="AJ47" s="3" t="s">
        <v>176</v>
      </c>
      <c r="AK47" s="3"/>
      <c r="AL47" s="3"/>
      <c r="AM47" s="3"/>
    </row>
    <row r="48" spans="1:39" s="1" customFormat="1" ht="22.5" x14ac:dyDescent="0.2">
      <c r="A48" s="303" t="s">
        <v>603</v>
      </c>
      <c r="B48" s="303" t="s">
        <v>603</v>
      </c>
      <c r="C48" s="315"/>
      <c r="D48" s="315"/>
      <c r="E48" s="316"/>
      <c r="F48" s="316"/>
      <c r="G48" s="316"/>
      <c r="H48" s="316"/>
      <c r="I48" s="316"/>
      <c r="J48" s="313"/>
      <c r="K48" s="317"/>
      <c r="L48" s="317"/>
      <c r="M48" s="317"/>
      <c r="N48" s="317"/>
      <c r="O48" s="317"/>
      <c r="P48" s="318">
        <f>+P49+P54+P62+P68</f>
        <v>556738427</v>
      </c>
      <c r="Q48" s="318">
        <f>+Q49+Q54+Q62+Q68</f>
        <v>0</v>
      </c>
      <c r="R48" s="318">
        <f>+R49+R54+R62+R68</f>
        <v>0</v>
      </c>
      <c r="S48" s="318">
        <f>SUM(P48:R48)/1000000</f>
        <v>556.738427</v>
      </c>
      <c r="T48" s="318">
        <f>+T49+T54+T62+T68</f>
        <v>639700000</v>
      </c>
      <c r="U48" s="318">
        <f>+U49+U54+U62+U68</f>
        <v>0</v>
      </c>
      <c r="V48" s="318">
        <f>+V49+V54+V62+V68</f>
        <v>0</v>
      </c>
      <c r="W48" s="318">
        <f>SUM(T48:V48)/1000000</f>
        <v>639.70000000000005</v>
      </c>
      <c r="X48" s="318">
        <f>+X49+X54+X62+X68</f>
        <v>643400000</v>
      </c>
      <c r="Y48" s="318">
        <f>+Y49+Y54+Y62+Y68</f>
        <v>0</v>
      </c>
      <c r="Z48" s="318">
        <f>+Z49+Z54+Z62+Z68</f>
        <v>0</v>
      </c>
      <c r="AA48" s="318">
        <f>SUM(X48:Z48)/1000000</f>
        <v>643.4</v>
      </c>
      <c r="AB48" s="318">
        <f>+AB49+AB54+AB62+AB68</f>
        <v>717400000</v>
      </c>
      <c r="AC48" s="318">
        <f>+AC49+AC54+AC62+AC68</f>
        <v>0</v>
      </c>
      <c r="AD48" s="318">
        <f>+AD49+AD54+AD62+AD68</f>
        <v>0</v>
      </c>
      <c r="AE48" s="318">
        <f>SUM(AB48:AD48)/1000000</f>
        <v>717.4</v>
      </c>
      <c r="AF48" s="308">
        <f t="shared" si="4"/>
        <v>2557.2384270000002</v>
      </c>
      <c r="AG48" s="334">
        <f>+AF48/AF184*100</f>
        <v>4.2669586306467453E-6</v>
      </c>
      <c r="AH48" s="198"/>
      <c r="AI48" s="238"/>
      <c r="AJ48" s="7"/>
      <c r="AK48" s="7"/>
      <c r="AL48" s="7"/>
      <c r="AM48" s="7"/>
    </row>
    <row r="49" spans="1:38" s="1" customFormat="1" ht="56.25" x14ac:dyDescent="0.2">
      <c r="A49" s="4"/>
      <c r="B49" s="19" t="s">
        <v>407</v>
      </c>
      <c r="C49" s="19"/>
      <c r="D49" s="128"/>
      <c r="E49" s="128"/>
      <c r="F49" s="128"/>
      <c r="G49" s="128"/>
      <c r="H49" s="128"/>
      <c r="I49" s="128"/>
      <c r="J49" s="165"/>
      <c r="K49" s="127"/>
      <c r="L49" s="127"/>
      <c r="M49" s="127"/>
      <c r="N49" s="127"/>
      <c r="O49" s="127"/>
      <c r="P49" s="155">
        <f>SUM(P50:P53)</f>
        <v>165000000</v>
      </c>
      <c r="Q49" s="155">
        <f>SUM(Q50:Q53)</f>
        <v>0</v>
      </c>
      <c r="R49" s="155">
        <f>SUM(R50:R53)</f>
        <v>0</v>
      </c>
      <c r="S49" s="155">
        <f>SUM(P49:R49)/1000000</f>
        <v>165</v>
      </c>
      <c r="T49" s="155">
        <f>SUM(T50:T53)</f>
        <v>168300000</v>
      </c>
      <c r="U49" s="155">
        <f>SUM(U50:U53)</f>
        <v>0</v>
      </c>
      <c r="V49" s="155">
        <f>SUM(V50:V53)</f>
        <v>0</v>
      </c>
      <c r="W49" s="155">
        <f>SUM(T49:V49)/1000000</f>
        <v>168.3</v>
      </c>
      <c r="X49" s="155">
        <f>SUM(X50:X53)</f>
        <v>170000000</v>
      </c>
      <c r="Y49" s="155">
        <f>SUM(Y50:Y53)</f>
        <v>0</v>
      </c>
      <c r="Z49" s="155">
        <f>SUM(Z50:Z53)</f>
        <v>0</v>
      </c>
      <c r="AA49" s="155">
        <f>SUM(X49:Z49)/1000000</f>
        <v>170</v>
      </c>
      <c r="AB49" s="155">
        <f>SUM(AB50:AB53)</f>
        <v>170000000</v>
      </c>
      <c r="AC49" s="155">
        <f>SUM(AC50:AC53)</f>
        <v>0</v>
      </c>
      <c r="AD49" s="155">
        <f>SUM(AD50:AD53)</f>
        <v>0</v>
      </c>
      <c r="AE49" s="155">
        <f>SUM(AB49:AD49)/1000000</f>
        <v>170</v>
      </c>
      <c r="AF49" s="155">
        <f t="shared" si="4"/>
        <v>673.3</v>
      </c>
      <c r="AG49" s="198"/>
      <c r="AH49" s="193">
        <f>+AF50</f>
        <v>673300000</v>
      </c>
      <c r="AI49" s="238">
        <v>35000000</v>
      </c>
      <c r="AJ49" s="7"/>
      <c r="AK49" s="7"/>
      <c r="AL49" s="7"/>
    </row>
    <row r="50" spans="1:38" s="1" customFormat="1" ht="146.25" hidden="1" x14ac:dyDescent="0.2">
      <c r="A50" s="4"/>
      <c r="B50" s="1563"/>
      <c r="C50" s="1446" t="s">
        <v>421</v>
      </c>
      <c r="D50" s="41" t="s">
        <v>484</v>
      </c>
      <c r="E50" s="19" t="s">
        <v>603</v>
      </c>
      <c r="F50" s="42">
        <v>45</v>
      </c>
      <c r="G50" s="42">
        <v>45</v>
      </c>
      <c r="H50" s="42">
        <v>45</v>
      </c>
      <c r="I50" s="236" t="s">
        <v>483</v>
      </c>
      <c r="J50" s="234" t="s">
        <v>137</v>
      </c>
      <c r="K50" s="208">
        <v>15</v>
      </c>
      <c r="L50" s="209">
        <v>15</v>
      </c>
      <c r="M50" s="209">
        <v>15</v>
      </c>
      <c r="N50" s="209">
        <v>16</v>
      </c>
      <c r="O50" s="187">
        <f>SUM(K50:N50)</f>
        <v>61</v>
      </c>
      <c r="P50" s="183">
        <v>135000000</v>
      </c>
      <c r="Q50" s="162"/>
      <c r="R50" s="25"/>
      <c r="S50" s="261">
        <f>SUM(P50:R50)</f>
        <v>135000000</v>
      </c>
      <c r="T50" s="1780">
        <v>168300000</v>
      </c>
      <c r="U50" s="1780"/>
      <c r="V50" s="1780"/>
      <c r="W50" s="1780">
        <f>SUM(T50:V53)</f>
        <v>168300000</v>
      </c>
      <c r="X50" s="1780">
        <v>170000000</v>
      </c>
      <c r="Y50" s="1780"/>
      <c r="Z50" s="1780"/>
      <c r="AA50" s="1780">
        <f>SUM(X50:Z53)</f>
        <v>170000000</v>
      </c>
      <c r="AB50" s="1780">
        <v>170000000</v>
      </c>
      <c r="AC50" s="1780"/>
      <c r="AD50" s="1780"/>
      <c r="AE50" s="1780">
        <f>SUM(AB50:AD53)</f>
        <v>170000000</v>
      </c>
      <c r="AF50" s="1787">
        <f>+S50+S51+W50+AA50+AE50</f>
        <v>673300000</v>
      </c>
      <c r="AG50" s="193"/>
      <c r="AH50" s="193"/>
      <c r="AI50" s="118"/>
      <c r="AJ50" s="3"/>
      <c r="AK50" s="3"/>
      <c r="AL50" s="3"/>
    </row>
    <row r="51" spans="1:38" s="1" customFormat="1" ht="56.25" hidden="1" x14ac:dyDescent="0.2">
      <c r="A51" s="4"/>
      <c r="B51" s="1783"/>
      <c r="C51" s="1447"/>
      <c r="D51" s="41" t="s">
        <v>156</v>
      </c>
      <c r="E51" s="42">
        <v>25</v>
      </c>
      <c r="F51" s="42">
        <v>30</v>
      </c>
      <c r="G51" s="42">
        <v>30</v>
      </c>
      <c r="H51" s="42">
        <v>30</v>
      </c>
      <c r="I51" s="236" t="s">
        <v>384</v>
      </c>
      <c r="J51" s="166" t="s">
        <v>137</v>
      </c>
      <c r="K51" s="208">
        <v>16</v>
      </c>
      <c r="L51" s="209">
        <v>16</v>
      </c>
      <c r="M51" s="209">
        <v>16</v>
      </c>
      <c r="N51" s="209">
        <v>16</v>
      </c>
      <c r="O51" s="187">
        <f>SUM(K51:N51)</f>
        <v>64</v>
      </c>
      <c r="P51" s="183">
        <v>30000000</v>
      </c>
      <c r="Q51" s="189"/>
      <c r="R51" s="25"/>
      <c r="S51" s="261">
        <f>SUM(P51:R51)</f>
        <v>30000000</v>
      </c>
      <c r="T51" s="1781"/>
      <c r="U51" s="1781"/>
      <c r="V51" s="1781"/>
      <c r="W51" s="1781"/>
      <c r="X51" s="1781"/>
      <c r="Y51" s="1781"/>
      <c r="Z51" s="1781"/>
      <c r="AA51" s="1781"/>
      <c r="AB51" s="1781"/>
      <c r="AC51" s="1781"/>
      <c r="AD51" s="1781"/>
      <c r="AE51" s="1781"/>
      <c r="AF51" s="1788">
        <f t="shared" ref="AF51:AF66" si="5">+S51+W51+AA51+AE51</f>
        <v>30000000</v>
      </c>
      <c r="AG51" s="193"/>
      <c r="AH51" s="193"/>
      <c r="AI51" s="118"/>
      <c r="AJ51" s="3"/>
      <c r="AK51" s="3"/>
      <c r="AL51" s="3"/>
    </row>
    <row r="52" spans="1:38" s="1" customFormat="1" ht="45" hidden="1" x14ac:dyDescent="0.2">
      <c r="A52" s="4"/>
      <c r="B52" s="1783"/>
      <c r="C52" s="1447"/>
      <c r="D52" s="41" t="s">
        <v>385</v>
      </c>
      <c r="E52" s="42">
        <v>25</v>
      </c>
      <c r="F52" s="42">
        <v>25</v>
      </c>
      <c r="G52" s="42">
        <v>25</v>
      </c>
      <c r="H52" s="42">
        <v>25</v>
      </c>
      <c r="I52" s="41" t="s">
        <v>422</v>
      </c>
      <c r="J52" s="180" t="s">
        <v>147</v>
      </c>
      <c r="K52" s="178">
        <v>24.59</v>
      </c>
      <c r="L52" s="178">
        <v>24.59</v>
      </c>
      <c r="M52" s="178">
        <v>24.59</v>
      </c>
      <c r="N52" s="178">
        <v>26.23</v>
      </c>
      <c r="O52" s="187">
        <f>SUM(K52:N52)</f>
        <v>100</v>
      </c>
      <c r="P52" s="183"/>
      <c r="Q52" s="189"/>
      <c r="R52" s="25"/>
      <c r="S52" s="261">
        <f>SUM(P52:R52)</f>
        <v>0</v>
      </c>
      <c r="T52" s="1781"/>
      <c r="U52" s="1781"/>
      <c r="V52" s="1781"/>
      <c r="W52" s="1781"/>
      <c r="X52" s="1781"/>
      <c r="Y52" s="1781"/>
      <c r="Z52" s="1781"/>
      <c r="AA52" s="1781"/>
      <c r="AB52" s="1781"/>
      <c r="AC52" s="1781"/>
      <c r="AD52" s="1781"/>
      <c r="AE52" s="1781"/>
      <c r="AF52" s="1788">
        <f t="shared" si="5"/>
        <v>0</v>
      </c>
      <c r="AG52" s="193"/>
      <c r="AH52" s="193"/>
      <c r="AI52" s="118"/>
      <c r="AJ52" s="3"/>
      <c r="AK52" s="3"/>
      <c r="AL52" s="3"/>
    </row>
    <row r="53" spans="1:38" s="1" customFormat="1" ht="56.25" hidden="1" x14ac:dyDescent="0.2">
      <c r="A53" s="4"/>
      <c r="B53" s="1564"/>
      <c r="C53" s="1448"/>
      <c r="D53" s="41" t="s">
        <v>386</v>
      </c>
      <c r="E53" s="42">
        <v>20</v>
      </c>
      <c r="F53" s="42"/>
      <c r="G53" s="42"/>
      <c r="H53" s="42"/>
      <c r="I53" s="41" t="s">
        <v>387</v>
      </c>
      <c r="J53" s="284" t="s">
        <v>147</v>
      </c>
      <c r="K53" s="210">
        <v>100</v>
      </c>
      <c r="L53" s="210"/>
      <c r="M53" s="210"/>
      <c r="N53" s="210"/>
      <c r="O53" s="211">
        <f>SUM(K53:N53)</f>
        <v>100</v>
      </c>
      <c r="P53" s="183"/>
      <c r="Q53" s="189"/>
      <c r="R53" s="25"/>
      <c r="S53" s="261">
        <f>SUM(P53:R53)</f>
        <v>0</v>
      </c>
      <c r="T53" s="1782"/>
      <c r="U53" s="1782"/>
      <c r="V53" s="1782"/>
      <c r="W53" s="1782"/>
      <c r="X53" s="1782"/>
      <c r="Y53" s="1782"/>
      <c r="Z53" s="1782"/>
      <c r="AA53" s="1782"/>
      <c r="AB53" s="1782"/>
      <c r="AC53" s="1782"/>
      <c r="AD53" s="1782"/>
      <c r="AE53" s="1782"/>
      <c r="AF53" s="1789">
        <f t="shared" si="5"/>
        <v>0</v>
      </c>
      <c r="AG53" s="193"/>
      <c r="AH53" s="193"/>
      <c r="AI53" s="118"/>
      <c r="AJ53" s="3"/>
      <c r="AK53" s="3"/>
      <c r="AL53" s="3"/>
    </row>
    <row r="54" spans="1:38" s="1" customFormat="1" ht="11.25" x14ac:dyDescent="0.2">
      <c r="A54" s="4"/>
      <c r="B54" s="128" t="s">
        <v>569</v>
      </c>
      <c r="C54" s="128"/>
      <c r="D54" s="128"/>
      <c r="E54" s="128"/>
      <c r="F54" s="128"/>
      <c r="G54" s="128"/>
      <c r="H54" s="128"/>
      <c r="I54" s="128"/>
      <c r="J54" s="165"/>
      <c r="K54" s="212"/>
      <c r="L54" s="212"/>
      <c r="M54" s="212"/>
      <c r="N54" s="212"/>
      <c r="O54" s="213"/>
      <c r="P54" s="155">
        <f>SUM(P55:P61)</f>
        <v>91738427</v>
      </c>
      <c r="Q54" s="155">
        <f>SUM(Q55:Q60)</f>
        <v>0</v>
      </c>
      <c r="R54" s="155">
        <f>SUM(R55:R60)</f>
        <v>0</v>
      </c>
      <c r="S54" s="155">
        <f>SUM(P54:R54)/1000000</f>
        <v>91.738427000000001</v>
      </c>
      <c r="T54" s="155">
        <f>SUM(T55:T61)</f>
        <v>138400000</v>
      </c>
      <c r="U54" s="155">
        <f>SUM(U55:U61)</f>
        <v>0</v>
      </c>
      <c r="V54" s="155">
        <f>SUM(V55:V61)</f>
        <v>0</v>
      </c>
      <c r="W54" s="155">
        <f>SUM(T54:V54)/1000000</f>
        <v>138.4</v>
      </c>
      <c r="X54" s="155">
        <f>SUM(X55:X61)</f>
        <v>138400000</v>
      </c>
      <c r="Y54" s="155">
        <f>SUM(Y55:Y61)</f>
        <v>0</v>
      </c>
      <c r="Z54" s="155">
        <f>SUM(Z55:Z61)</f>
        <v>0</v>
      </c>
      <c r="AA54" s="155">
        <f>SUM(X54:Z54)/1000000</f>
        <v>138.4</v>
      </c>
      <c r="AB54" s="155">
        <f>SUM(AB55:AB61)</f>
        <v>138400000</v>
      </c>
      <c r="AC54" s="155">
        <f>SUM(AC55:AC61)</f>
        <v>0</v>
      </c>
      <c r="AD54" s="155">
        <f>SUM(AD55:AD61)</f>
        <v>0</v>
      </c>
      <c r="AE54" s="155">
        <f>SUM(AB54:AD54)/1000000</f>
        <v>138.4</v>
      </c>
      <c r="AF54" s="155">
        <f t="shared" si="5"/>
        <v>506.93842700000005</v>
      </c>
      <c r="AG54" s="198"/>
      <c r="AH54" s="193">
        <f>SUM(AF55:AF61)</f>
        <v>506938427</v>
      </c>
      <c r="AI54" s="238"/>
      <c r="AJ54" s="7"/>
      <c r="AK54" s="7"/>
      <c r="AL54" s="7"/>
    </row>
    <row r="55" spans="1:38" s="1" customFormat="1" ht="33.75" hidden="1" x14ac:dyDescent="0.2">
      <c r="A55" s="4"/>
      <c r="B55" s="1563"/>
      <c r="C55" s="1446" t="s">
        <v>421</v>
      </c>
      <c r="D55" s="1689" t="s">
        <v>399</v>
      </c>
      <c r="E55" s="42">
        <v>50</v>
      </c>
      <c r="F55" s="42">
        <v>40</v>
      </c>
      <c r="G55" s="42">
        <v>40</v>
      </c>
      <c r="H55" s="42">
        <v>40</v>
      </c>
      <c r="I55" s="41" t="s">
        <v>436</v>
      </c>
      <c r="J55" s="284" t="s">
        <v>147</v>
      </c>
      <c r="K55" s="210">
        <v>100</v>
      </c>
      <c r="L55" s="210">
        <v>100</v>
      </c>
      <c r="M55" s="210">
        <v>100</v>
      </c>
      <c r="N55" s="210">
        <v>100</v>
      </c>
      <c r="O55" s="215">
        <v>100</v>
      </c>
      <c r="P55" s="1830">
        <v>61738427</v>
      </c>
      <c r="Q55" s="1830"/>
      <c r="R55" s="1830"/>
      <c r="S55" s="1787">
        <f>SUM(P55:R55)</f>
        <v>61738427</v>
      </c>
      <c r="T55" s="1780">
        <f>2200000*11+10000000+24200000+30000000</f>
        <v>88400000</v>
      </c>
      <c r="U55" s="1780"/>
      <c r="V55" s="1780"/>
      <c r="W55" s="1780">
        <f>SUM(T55:V55)</f>
        <v>88400000</v>
      </c>
      <c r="X55" s="1780">
        <f>2200000*11+10000000+24200000+30000000</f>
        <v>88400000</v>
      </c>
      <c r="Y55" s="1780"/>
      <c r="Z55" s="1780"/>
      <c r="AA55" s="1780">
        <f>SUM(X55:Z55)</f>
        <v>88400000</v>
      </c>
      <c r="AB55" s="1780">
        <f>2200000*11+10000000+24200000+30000000</f>
        <v>88400000</v>
      </c>
      <c r="AC55" s="1780"/>
      <c r="AD55" s="1780"/>
      <c r="AE55" s="1780">
        <f>SUM(AB55:AD55)</f>
        <v>88400000</v>
      </c>
      <c r="AF55" s="1780">
        <f t="shared" si="5"/>
        <v>326938427</v>
      </c>
      <c r="AG55" s="332"/>
      <c r="AH55" s="198"/>
      <c r="AI55" s="238"/>
      <c r="AJ55" s="182"/>
      <c r="AK55" s="7"/>
      <c r="AL55" s="7"/>
    </row>
    <row r="56" spans="1:38" s="1" customFormat="1" ht="33.75" hidden="1" x14ac:dyDescent="0.2">
      <c r="A56" s="4"/>
      <c r="B56" s="1783"/>
      <c r="C56" s="1447"/>
      <c r="D56" s="1779"/>
      <c r="E56" s="42"/>
      <c r="F56" s="42"/>
      <c r="G56" s="42"/>
      <c r="H56" s="42"/>
      <c r="I56" s="41" t="s">
        <v>434</v>
      </c>
      <c r="J56" s="284" t="s">
        <v>435</v>
      </c>
      <c r="K56" s="210">
        <v>100</v>
      </c>
      <c r="L56" s="210">
        <v>100</v>
      </c>
      <c r="M56" s="210">
        <v>100</v>
      </c>
      <c r="N56" s="210">
        <v>100</v>
      </c>
      <c r="O56" s="215">
        <v>100</v>
      </c>
      <c r="P56" s="1830"/>
      <c r="Q56" s="1830"/>
      <c r="R56" s="1830"/>
      <c r="S56" s="1788"/>
      <c r="T56" s="1781"/>
      <c r="U56" s="1781"/>
      <c r="V56" s="1781"/>
      <c r="W56" s="1781"/>
      <c r="X56" s="1781"/>
      <c r="Y56" s="1781"/>
      <c r="Z56" s="1781"/>
      <c r="AA56" s="1781"/>
      <c r="AB56" s="1781"/>
      <c r="AC56" s="1781"/>
      <c r="AD56" s="1781"/>
      <c r="AE56" s="1781"/>
      <c r="AF56" s="1781">
        <f t="shared" si="5"/>
        <v>0</v>
      </c>
      <c r="AG56" s="332"/>
      <c r="AH56" s="198"/>
      <c r="AI56" s="239"/>
      <c r="AJ56" s="179"/>
      <c r="AK56" s="179"/>
      <c r="AL56" s="179"/>
    </row>
    <row r="57" spans="1:38" s="1" customFormat="1" ht="33.75" hidden="1" x14ac:dyDescent="0.2">
      <c r="A57" s="4"/>
      <c r="B57" s="1783"/>
      <c r="C57" s="1447"/>
      <c r="D57" s="41" t="s">
        <v>411</v>
      </c>
      <c r="E57" s="42">
        <v>20</v>
      </c>
      <c r="F57" s="42">
        <v>10</v>
      </c>
      <c r="G57" s="42">
        <v>10</v>
      </c>
      <c r="H57" s="42">
        <v>10</v>
      </c>
      <c r="I57" s="41" t="s">
        <v>437</v>
      </c>
      <c r="J57" s="284" t="s">
        <v>137</v>
      </c>
      <c r="K57" s="210">
        <v>4</v>
      </c>
      <c r="L57" s="210">
        <v>6</v>
      </c>
      <c r="M57" s="210">
        <v>6</v>
      </c>
      <c r="N57" s="210">
        <v>6</v>
      </c>
      <c r="O57" s="211">
        <f>SUM(K57:N57)</f>
        <v>22</v>
      </c>
      <c r="P57" s="1830"/>
      <c r="Q57" s="1830"/>
      <c r="R57" s="1830"/>
      <c r="S57" s="1788"/>
      <c r="T57" s="1781"/>
      <c r="U57" s="1781"/>
      <c r="V57" s="1781"/>
      <c r="W57" s="1781">
        <f>SUM(T57:V57)</f>
        <v>0</v>
      </c>
      <c r="X57" s="1781"/>
      <c r="Y57" s="1781"/>
      <c r="Z57" s="1781"/>
      <c r="AA57" s="1781">
        <f>SUM(X57:Z57)</f>
        <v>0</v>
      </c>
      <c r="AB57" s="1781"/>
      <c r="AC57" s="1781"/>
      <c r="AD57" s="1781"/>
      <c r="AE57" s="1781">
        <f>SUM(AB57:AD57)</f>
        <v>0</v>
      </c>
      <c r="AF57" s="1781">
        <f t="shared" si="5"/>
        <v>0</v>
      </c>
      <c r="AG57" s="332"/>
      <c r="AH57" s="198"/>
      <c r="AI57" s="240"/>
      <c r="AJ57" s="181"/>
      <c r="AK57" s="181"/>
      <c r="AL57" s="181"/>
    </row>
    <row r="58" spans="1:38" s="1" customFormat="1" ht="22.5" hidden="1" x14ac:dyDescent="0.2">
      <c r="A58" s="4"/>
      <c r="B58" s="1783"/>
      <c r="C58" s="1447"/>
      <c r="D58" s="41" t="s">
        <v>369</v>
      </c>
      <c r="E58" s="42"/>
      <c r="F58" s="42">
        <v>30</v>
      </c>
      <c r="G58" s="42">
        <v>30</v>
      </c>
      <c r="H58" s="42">
        <v>30</v>
      </c>
      <c r="I58" s="41" t="s">
        <v>400</v>
      </c>
      <c r="J58" s="284" t="s">
        <v>137</v>
      </c>
      <c r="K58" s="210"/>
      <c r="L58" s="210">
        <v>1</v>
      </c>
      <c r="M58" s="210">
        <v>1</v>
      </c>
      <c r="N58" s="210">
        <v>1</v>
      </c>
      <c r="O58" s="211">
        <f>SUM(K58:N58)</f>
        <v>3</v>
      </c>
      <c r="P58" s="1830"/>
      <c r="Q58" s="1830"/>
      <c r="R58" s="1830"/>
      <c r="S58" s="1788"/>
      <c r="T58" s="1781"/>
      <c r="U58" s="1781"/>
      <c r="V58" s="1781"/>
      <c r="W58" s="1781">
        <f>SUM(T58:V58)</f>
        <v>0</v>
      </c>
      <c r="X58" s="1781"/>
      <c r="Y58" s="1781"/>
      <c r="Z58" s="1781"/>
      <c r="AA58" s="1781">
        <f>SUM(X58:Z58)</f>
        <v>0</v>
      </c>
      <c r="AB58" s="1781"/>
      <c r="AC58" s="1781"/>
      <c r="AD58" s="1781"/>
      <c r="AE58" s="1781">
        <f>SUM(AB58:AD58)</f>
        <v>0</v>
      </c>
      <c r="AF58" s="1781">
        <f t="shared" si="5"/>
        <v>0</v>
      </c>
      <c r="AG58" s="332"/>
      <c r="AH58" s="198"/>
      <c r="AI58" s="240"/>
      <c r="AJ58" s="181"/>
      <c r="AK58" s="181"/>
      <c r="AL58" s="181"/>
    </row>
    <row r="59" spans="1:38" s="1" customFormat="1" ht="22.5" hidden="1" x14ac:dyDescent="0.2">
      <c r="A59" s="4"/>
      <c r="B59" s="1783"/>
      <c r="C59" s="1447"/>
      <c r="D59" s="16" t="s">
        <v>413</v>
      </c>
      <c r="E59" s="42"/>
      <c r="F59" s="42"/>
      <c r="G59" s="42"/>
      <c r="H59" s="42"/>
      <c r="I59" s="42" t="s">
        <v>438</v>
      </c>
      <c r="J59" s="167" t="s">
        <v>137</v>
      </c>
      <c r="K59" s="214">
        <v>1</v>
      </c>
      <c r="L59" s="214">
        <v>1</v>
      </c>
      <c r="M59" s="214">
        <v>1</v>
      </c>
      <c r="N59" s="214">
        <v>1</v>
      </c>
      <c r="O59" s="215">
        <v>1</v>
      </c>
      <c r="P59" s="1830"/>
      <c r="Q59" s="1830"/>
      <c r="R59" s="1830"/>
      <c r="S59" s="1789"/>
      <c r="T59" s="1782"/>
      <c r="U59" s="1782"/>
      <c r="V59" s="1782"/>
      <c r="W59" s="1782">
        <f>SUM(T59:V59)</f>
        <v>0</v>
      </c>
      <c r="X59" s="1782"/>
      <c r="Y59" s="1782"/>
      <c r="Z59" s="1782"/>
      <c r="AA59" s="1782">
        <f>SUM(X59:Z59)</f>
        <v>0</v>
      </c>
      <c r="AB59" s="1782"/>
      <c r="AC59" s="1782"/>
      <c r="AD59" s="1782"/>
      <c r="AE59" s="1782">
        <f>SUM(AB59:AD59)</f>
        <v>0</v>
      </c>
      <c r="AF59" s="1782">
        <f t="shared" si="5"/>
        <v>0</v>
      </c>
      <c r="AG59" s="332"/>
      <c r="AH59" s="193"/>
      <c r="AI59" s="240"/>
      <c r="AJ59" s="181"/>
      <c r="AK59" s="181"/>
      <c r="AL59" s="181"/>
    </row>
    <row r="60" spans="1:38" s="1" customFormat="1" ht="22.5" hidden="1" x14ac:dyDescent="0.2">
      <c r="A60" s="4"/>
      <c r="B60" s="1783"/>
      <c r="C60" s="1447"/>
      <c r="D60" s="1689" t="s">
        <v>412</v>
      </c>
      <c r="E60" s="42">
        <v>30</v>
      </c>
      <c r="F60" s="42">
        <v>15</v>
      </c>
      <c r="G60" s="42">
        <v>15</v>
      </c>
      <c r="H60" s="42">
        <v>15</v>
      </c>
      <c r="I60" s="41" t="s">
        <v>441</v>
      </c>
      <c r="J60" s="284" t="s">
        <v>147</v>
      </c>
      <c r="K60" s="210">
        <v>100</v>
      </c>
      <c r="L60" s="210">
        <v>100</v>
      </c>
      <c r="M60" s="210">
        <v>100</v>
      </c>
      <c r="N60" s="210">
        <v>100</v>
      </c>
      <c r="O60" s="215">
        <v>100</v>
      </c>
      <c r="P60" s="1781">
        <v>30000000</v>
      </c>
      <c r="Q60" s="1781"/>
      <c r="R60" s="1781"/>
      <c r="S60" s="1787">
        <f>SUM(P60:R60)</f>
        <v>30000000</v>
      </c>
      <c r="T60" s="1787">
        <v>50000000</v>
      </c>
      <c r="U60" s="1780"/>
      <c r="V60" s="1780"/>
      <c r="W60" s="1787">
        <f>SUM(T60:V60)</f>
        <v>50000000</v>
      </c>
      <c r="X60" s="1787">
        <v>50000000</v>
      </c>
      <c r="Y60" s="1780"/>
      <c r="Z60" s="1780"/>
      <c r="AA60" s="1787">
        <f>SUM(X60:Z60)</f>
        <v>50000000</v>
      </c>
      <c r="AB60" s="1787">
        <v>50000000</v>
      </c>
      <c r="AC60" s="265"/>
      <c r="AD60" s="1780"/>
      <c r="AE60" s="1787">
        <f>SUM(AB60:AD60)</f>
        <v>50000000</v>
      </c>
      <c r="AF60" s="1780">
        <f t="shared" si="5"/>
        <v>180000000</v>
      </c>
      <c r="AG60" s="332"/>
      <c r="AH60" s="193"/>
      <c r="AI60" s="118"/>
      <c r="AJ60" s="3"/>
      <c r="AK60" s="3"/>
      <c r="AL60" s="3"/>
    </row>
    <row r="61" spans="1:38" s="1" customFormat="1" ht="33.75" hidden="1" x14ac:dyDescent="0.2">
      <c r="A61" s="4"/>
      <c r="B61" s="1783"/>
      <c r="C61" s="1448"/>
      <c r="D61" s="1779"/>
      <c r="E61" s="42"/>
      <c r="F61" s="42"/>
      <c r="G61" s="42"/>
      <c r="H61" s="42"/>
      <c r="I61" s="41" t="s">
        <v>440</v>
      </c>
      <c r="J61" s="284" t="s">
        <v>439</v>
      </c>
      <c r="K61" s="210">
        <v>2</v>
      </c>
      <c r="L61" s="210">
        <v>2</v>
      </c>
      <c r="M61" s="210">
        <v>2</v>
      </c>
      <c r="N61" s="210">
        <v>2</v>
      </c>
      <c r="O61" s="211">
        <f>SUM(K61:N61)</f>
        <v>8</v>
      </c>
      <c r="P61" s="1782"/>
      <c r="Q61" s="1782"/>
      <c r="R61" s="1782"/>
      <c r="S61" s="1789"/>
      <c r="T61" s="1789"/>
      <c r="U61" s="1782"/>
      <c r="V61" s="1782"/>
      <c r="W61" s="1789"/>
      <c r="X61" s="1789"/>
      <c r="Y61" s="1782"/>
      <c r="Z61" s="1782"/>
      <c r="AA61" s="1789"/>
      <c r="AB61" s="1789"/>
      <c r="AC61" s="266"/>
      <c r="AD61" s="1782"/>
      <c r="AE61" s="1789"/>
      <c r="AF61" s="1782">
        <f t="shared" si="5"/>
        <v>0</v>
      </c>
      <c r="AG61" s="332"/>
      <c r="AH61" s="193"/>
      <c r="AI61" s="118"/>
      <c r="AJ61" s="3"/>
      <c r="AK61" s="3"/>
      <c r="AL61" s="3"/>
    </row>
    <row r="62" spans="1:38" s="1" customFormat="1" ht="22.5" x14ac:dyDescent="0.2">
      <c r="A62" s="4"/>
      <c r="B62" s="19" t="s">
        <v>517</v>
      </c>
      <c r="C62" s="128"/>
      <c r="D62" s="19"/>
      <c r="E62" s="139"/>
      <c r="F62" s="139"/>
      <c r="G62" s="139"/>
      <c r="H62" s="139"/>
      <c r="I62" s="139"/>
      <c r="J62" s="172"/>
      <c r="K62" s="213"/>
      <c r="L62" s="213"/>
      <c r="M62" s="213"/>
      <c r="N62" s="213"/>
      <c r="O62" s="213"/>
      <c r="P62" s="155">
        <f>SUM(P63:P67)</f>
        <v>150000000</v>
      </c>
      <c r="Q62" s="155">
        <f>SUM(Q63:Q67)</f>
        <v>0</v>
      </c>
      <c r="R62" s="155">
        <f>SUM(R63:R67)</f>
        <v>0</v>
      </c>
      <c r="S62" s="155">
        <f>SUM(P62:R62)/1000000</f>
        <v>150</v>
      </c>
      <c r="T62" s="155">
        <f>SUM(T63:T67)</f>
        <v>180000000</v>
      </c>
      <c r="U62" s="155">
        <f>SUM(U63:U67)</f>
        <v>0</v>
      </c>
      <c r="V62" s="155">
        <f>SUM(V63:V67)</f>
        <v>0</v>
      </c>
      <c r="W62" s="155">
        <f>SUM(T62:V62)/1000000</f>
        <v>180</v>
      </c>
      <c r="X62" s="155">
        <f>SUM(X63:X67)</f>
        <v>180000000</v>
      </c>
      <c r="Y62" s="155">
        <f>SUM(Y63:Y67)</f>
        <v>0</v>
      </c>
      <c r="Z62" s="155">
        <f>SUM(Z63:Z67)</f>
        <v>0</v>
      </c>
      <c r="AA62" s="155">
        <f>SUM(X62:Z62)/1000000</f>
        <v>180</v>
      </c>
      <c r="AB62" s="155">
        <f>SUM(AB63:AB67)</f>
        <v>250000000</v>
      </c>
      <c r="AC62" s="155">
        <f>SUM(AC63:AC67)</f>
        <v>0</v>
      </c>
      <c r="AD62" s="155">
        <f>SUM(AD63:AD67)</f>
        <v>0</v>
      </c>
      <c r="AE62" s="155">
        <f>SUM(AB62:AD62)/1000000</f>
        <v>250</v>
      </c>
      <c r="AF62" s="155">
        <f t="shared" si="5"/>
        <v>760</v>
      </c>
      <c r="AG62" s="198"/>
      <c r="AH62" s="193">
        <f>SUM(AF63:AF66)</f>
        <v>760000000</v>
      </c>
      <c r="AI62" s="238"/>
      <c r="AJ62" s="7"/>
      <c r="AK62" s="7"/>
    </row>
    <row r="63" spans="1:38" s="1" customFormat="1" ht="33.75" hidden="1" x14ac:dyDescent="0.2">
      <c r="A63" s="4"/>
      <c r="B63" s="1822"/>
      <c r="C63" s="1825" t="s">
        <v>421</v>
      </c>
      <c r="D63" s="20" t="s">
        <v>562</v>
      </c>
      <c r="E63" s="145"/>
      <c r="F63" s="145"/>
      <c r="G63" s="145"/>
      <c r="H63" s="145"/>
      <c r="I63" s="41" t="s">
        <v>523</v>
      </c>
      <c r="J63" s="167" t="s">
        <v>137</v>
      </c>
      <c r="K63" s="214">
        <v>1</v>
      </c>
      <c r="L63" s="214"/>
      <c r="M63" s="214"/>
      <c r="N63" s="214"/>
      <c r="O63" s="217">
        <f>SUM(K63:N63)</f>
        <v>1</v>
      </c>
      <c r="P63" s="183">
        <v>80000000</v>
      </c>
      <c r="Q63" s="261"/>
      <c r="R63" s="261"/>
      <c r="S63" s="261">
        <f>SUM(P63:R63)</f>
        <v>80000000</v>
      </c>
      <c r="T63" s="261"/>
      <c r="U63" s="261"/>
      <c r="V63" s="261"/>
      <c r="W63" s="261">
        <f>SUM(T63:V63)</f>
        <v>0</v>
      </c>
      <c r="X63" s="261"/>
      <c r="Y63" s="261"/>
      <c r="Z63" s="261"/>
      <c r="AA63" s="261">
        <f>SUM(X63:Z63)</f>
        <v>0</v>
      </c>
      <c r="AB63" s="261"/>
      <c r="AC63" s="261"/>
      <c r="AD63" s="261"/>
      <c r="AE63" s="261">
        <f>SUM(AB63:AD63)</f>
        <v>0</v>
      </c>
      <c r="AF63" s="261">
        <f t="shared" si="5"/>
        <v>80000000</v>
      </c>
      <c r="AG63" s="193"/>
      <c r="AH63" s="193"/>
      <c r="AI63" s="118"/>
      <c r="AJ63" s="163" t="s">
        <v>420</v>
      </c>
      <c r="AK63" s="3"/>
    </row>
    <row r="64" spans="1:38" s="1" customFormat="1" ht="33.75" hidden="1" x14ac:dyDescent="0.2">
      <c r="A64" s="4"/>
      <c r="B64" s="1823"/>
      <c r="C64" s="1826"/>
      <c r="D64" s="20" t="s">
        <v>515</v>
      </c>
      <c r="E64" s="145"/>
      <c r="F64" s="145"/>
      <c r="G64" s="145"/>
      <c r="H64" s="145"/>
      <c r="I64" s="41" t="s">
        <v>516</v>
      </c>
      <c r="J64" s="167" t="s">
        <v>137</v>
      </c>
      <c r="K64" s="214">
        <v>1</v>
      </c>
      <c r="L64" s="214">
        <v>1</v>
      </c>
      <c r="M64" s="214">
        <v>1</v>
      </c>
      <c r="N64" s="214">
        <v>1</v>
      </c>
      <c r="O64" s="217">
        <v>1</v>
      </c>
      <c r="P64" s="183">
        <v>70000000</v>
      </c>
      <c r="Q64" s="261"/>
      <c r="R64" s="261"/>
      <c r="S64" s="261">
        <f>SUM(P64:R64)</f>
        <v>70000000</v>
      </c>
      <c r="T64" s="261">
        <v>30000000</v>
      </c>
      <c r="U64" s="261"/>
      <c r="V64" s="261"/>
      <c r="W64" s="261">
        <f>SUM(T64:V64)</f>
        <v>30000000</v>
      </c>
      <c r="X64" s="261">
        <v>30000000</v>
      </c>
      <c r="Y64" s="261"/>
      <c r="Z64" s="261"/>
      <c r="AA64" s="261">
        <f>SUM(X64:Z64)</f>
        <v>30000000</v>
      </c>
      <c r="AB64" s="261">
        <v>30000000</v>
      </c>
      <c r="AC64" s="261"/>
      <c r="AD64" s="261"/>
      <c r="AE64" s="261">
        <f>SUM(AB64:AD64)</f>
        <v>30000000</v>
      </c>
      <c r="AF64" s="261">
        <f t="shared" si="5"/>
        <v>160000000</v>
      </c>
      <c r="AG64" s="193"/>
      <c r="AH64" s="193"/>
      <c r="AI64" s="118"/>
      <c r="AJ64" s="3"/>
      <c r="AK64" s="3"/>
    </row>
    <row r="65" spans="1:38" s="1" customFormat="1" ht="33.75" hidden="1" x14ac:dyDescent="0.2">
      <c r="A65" s="4"/>
      <c r="B65" s="1823"/>
      <c r="C65" s="1826"/>
      <c r="D65" s="34" t="s">
        <v>521</v>
      </c>
      <c r="E65" s="148"/>
      <c r="F65" s="148"/>
      <c r="G65" s="148"/>
      <c r="H65" s="148"/>
      <c r="I65" s="41" t="s">
        <v>518</v>
      </c>
      <c r="J65" s="167" t="s">
        <v>147</v>
      </c>
      <c r="K65" s="214"/>
      <c r="L65" s="214">
        <v>100</v>
      </c>
      <c r="M65" s="214">
        <v>100</v>
      </c>
      <c r="N65" s="214">
        <v>100</v>
      </c>
      <c r="O65" s="217">
        <v>100</v>
      </c>
      <c r="P65" s="261"/>
      <c r="Q65" s="261"/>
      <c r="R65" s="261"/>
      <c r="S65" s="261">
        <f>SUM(P65:R65)</f>
        <v>0</v>
      </c>
      <c r="T65" s="261">
        <v>100000000</v>
      </c>
      <c r="U65" s="261"/>
      <c r="V65" s="261"/>
      <c r="W65" s="261">
        <f>SUM(T65:V65)</f>
        <v>100000000</v>
      </c>
      <c r="X65" s="261">
        <v>100000000</v>
      </c>
      <c r="Y65" s="193"/>
      <c r="Z65" s="261"/>
      <c r="AA65" s="261">
        <f>SUM(X65:Z65)</f>
        <v>100000000</v>
      </c>
      <c r="AB65" s="261">
        <v>150000000</v>
      </c>
      <c r="AC65" s="261"/>
      <c r="AD65" s="193"/>
      <c r="AE65" s="261">
        <f>SUM(AB65:AD65)</f>
        <v>150000000</v>
      </c>
      <c r="AF65" s="261">
        <f t="shared" si="5"/>
        <v>350000000</v>
      </c>
      <c r="AG65" s="193"/>
      <c r="AH65" s="193"/>
      <c r="AI65" s="118"/>
      <c r="AJ65" s="3"/>
      <c r="AK65" s="3"/>
    </row>
    <row r="66" spans="1:38" s="1" customFormat="1" ht="67.5" hidden="1" x14ac:dyDescent="0.2">
      <c r="A66" s="4"/>
      <c r="B66" s="1823"/>
      <c r="C66" s="1826"/>
      <c r="D66" s="1828" t="s">
        <v>522</v>
      </c>
      <c r="E66" s="145"/>
      <c r="F66" s="145"/>
      <c r="G66" s="145"/>
      <c r="H66" s="145"/>
      <c r="I66" s="41" t="s">
        <v>519</v>
      </c>
      <c r="J66" s="167" t="s">
        <v>147</v>
      </c>
      <c r="K66" s="214"/>
      <c r="L66" s="214">
        <v>100</v>
      </c>
      <c r="M66" s="214">
        <v>100</v>
      </c>
      <c r="N66" s="214">
        <v>100</v>
      </c>
      <c r="O66" s="217">
        <v>100</v>
      </c>
      <c r="P66" s="1422"/>
      <c r="Q66" s="1422"/>
      <c r="R66" s="1422"/>
      <c r="S66" s="1422">
        <f>SUM(P66:R66)</f>
        <v>0</v>
      </c>
      <c r="T66" s="1422">
        <v>50000000</v>
      </c>
      <c r="U66" s="1422"/>
      <c r="V66" s="1422"/>
      <c r="W66" s="1422">
        <f>SUM(T66:V66)</f>
        <v>50000000</v>
      </c>
      <c r="X66" s="1422">
        <v>50000000</v>
      </c>
      <c r="Y66" s="1422"/>
      <c r="Z66" s="193"/>
      <c r="AA66" s="1422">
        <f>SUM(X66:Z66)</f>
        <v>50000000</v>
      </c>
      <c r="AB66" s="1422">
        <v>70000000</v>
      </c>
      <c r="AC66" s="1422"/>
      <c r="AD66" s="1422"/>
      <c r="AE66" s="1422">
        <f>SUM(AB66:AD66)</f>
        <v>70000000</v>
      </c>
      <c r="AF66" s="1422">
        <f t="shared" si="5"/>
        <v>170000000</v>
      </c>
      <c r="AG66" s="332"/>
      <c r="AH66" s="193"/>
      <c r="AI66" s="118"/>
      <c r="AJ66" s="3"/>
      <c r="AK66" s="3"/>
    </row>
    <row r="67" spans="1:38" s="1" customFormat="1" ht="11.25" hidden="1" x14ac:dyDescent="0.2">
      <c r="A67" s="4"/>
      <c r="B67" s="1824"/>
      <c r="C67" s="1827"/>
      <c r="D67" s="1829"/>
      <c r="E67" s="145"/>
      <c r="F67" s="145"/>
      <c r="G67" s="145"/>
      <c r="H67" s="145"/>
      <c r="I67" s="41" t="s">
        <v>520</v>
      </c>
      <c r="J67" s="167" t="s">
        <v>147</v>
      </c>
      <c r="K67" s="214"/>
      <c r="L67" s="214">
        <v>100</v>
      </c>
      <c r="M67" s="214">
        <v>100</v>
      </c>
      <c r="N67" s="214">
        <v>100</v>
      </c>
      <c r="O67" s="217">
        <v>100</v>
      </c>
      <c r="P67" s="1423"/>
      <c r="Q67" s="1423"/>
      <c r="R67" s="1423"/>
      <c r="S67" s="1423"/>
      <c r="T67" s="1423"/>
      <c r="U67" s="1423"/>
      <c r="V67" s="1423"/>
      <c r="W67" s="1423"/>
      <c r="X67" s="1423"/>
      <c r="Y67" s="1423"/>
      <c r="Z67" s="193"/>
      <c r="AA67" s="1423"/>
      <c r="AB67" s="1423"/>
      <c r="AC67" s="1423"/>
      <c r="AD67" s="1423"/>
      <c r="AE67" s="1423"/>
      <c r="AF67" s="1423"/>
      <c r="AG67" s="332"/>
      <c r="AH67" s="193"/>
      <c r="AI67" s="118"/>
      <c r="AJ67" s="3"/>
      <c r="AK67" s="3"/>
    </row>
    <row r="68" spans="1:38" s="1" customFormat="1" ht="33.75" x14ac:dyDescent="0.2">
      <c r="A68" s="4"/>
      <c r="B68" s="128" t="s">
        <v>604</v>
      </c>
      <c r="C68" s="128"/>
      <c r="D68" s="19"/>
      <c r="E68" s="139"/>
      <c r="F68" s="139"/>
      <c r="G68" s="139"/>
      <c r="H68" s="139"/>
      <c r="I68" s="139"/>
      <c r="J68" s="172"/>
      <c r="K68" s="213"/>
      <c r="L68" s="213"/>
      <c r="M68" s="213"/>
      <c r="N68" s="213"/>
      <c r="O68" s="213"/>
      <c r="P68" s="155">
        <f>SUM(P69:P73)</f>
        <v>150000000</v>
      </c>
      <c r="Q68" s="155">
        <f>SUM(Q69:Q73)</f>
        <v>0</v>
      </c>
      <c r="R68" s="155">
        <f>SUM(R69:R73)</f>
        <v>0</v>
      </c>
      <c r="S68" s="155">
        <f>SUM(P68:R68)/1000000</f>
        <v>150</v>
      </c>
      <c r="T68" s="155">
        <f>SUM(T69:T73)</f>
        <v>153000000</v>
      </c>
      <c r="U68" s="155">
        <f>SUM(U69:U73)</f>
        <v>0</v>
      </c>
      <c r="V68" s="155">
        <f>SUM(V69:V73)</f>
        <v>0</v>
      </c>
      <c r="W68" s="155">
        <f>SUM(T68:V68)/1000000</f>
        <v>153</v>
      </c>
      <c r="X68" s="155">
        <f>SUM(X69)</f>
        <v>155000000</v>
      </c>
      <c r="Y68" s="155">
        <f>SUM(Y69:Y73)</f>
        <v>0</v>
      </c>
      <c r="Z68" s="155">
        <f>SUM(Z69:Z73)</f>
        <v>0</v>
      </c>
      <c r="AA68" s="155">
        <f>SUM(X68:Z68)/1000000</f>
        <v>155</v>
      </c>
      <c r="AB68" s="155">
        <f>SUM(AB69:AB73)</f>
        <v>159000000</v>
      </c>
      <c r="AC68" s="155">
        <f>SUM(AC69:AC73)</f>
        <v>0</v>
      </c>
      <c r="AD68" s="155">
        <f>SUM(AD69:AD73)</f>
        <v>0</v>
      </c>
      <c r="AE68" s="155">
        <f>SUM(AB68:AD68)/1000000</f>
        <v>159</v>
      </c>
      <c r="AF68" s="155">
        <f t="shared" ref="AF68:AF82" si="6">+S68+W68+AA68+AE68</f>
        <v>617</v>
      </c>
      <c r="AG68" s="198"/>
      <c r="AH68" s="193">
        <f>+AF69</f>
        <v>617000000</v>
      </c>
      <c r="AI68" s="238">
        <v>29676762</v>
      </c>
      <c r="AJ68" s="7"/>
      <c r="AK68" s="7"/>
      <c r="AL68" s="7"/>
    </row>
    <row r="69" spans="1:38" s="1" customFormat="1" ht="22.5" hidden="1" x14ac:dyDescent="0.2">
      <c r="A69" s="4"/>
      <c r="B69" s="1563"/>
      <c r="C69" s="41" t="s">
        <v>527</v>
      </c>
      <c r="D69" s="41" t="s">
        <v>83</v>
      </c>
      <c r="E69" s="145"/>
      <c r="F69" s="145"/>
      <c r="G69" s="145"/>
      <c r="H69" s="145"/>
      <c r="I69" s="16" t="s">
        <v>373</v>
      </c>
      <c r="J69" s="53" t="s">
        <v>137</v>
      </c>
      <c r="K69" s="226">
        <v>2</v>
      </c>
      <c r="L69" s="226">
        <v>3</v>
      </c>
      <c r="M69" s="226">
        <v>3</v>
      </c>
      <c r="N69" s="274">
        <v>4</v>
      </c>
      <c r="O69" s="215">
        <v>4</v>
      </c>
      <c r="P69" s="1598">
        <v>150000000</v>
      </c>
      <c r="Q69" s="1598"/>
      <c r="R69" s="1598"/>
      <c r="S69" s="1598">
        <f>SUM(P69:R69)</f>
        <v>150000000</v>
      </c>
      <c r="T69" s="1598">
        <f>+ROUND(P69*0.02,0)+P69</f>
        <v>153000000</v>
      </c>
      <c r="U69" s="1820"/>
      <c r="V69" s="1820"/>
      <c r="W69" s="1598">
        <f>SUM(T69:V69)</f>
        <v>153000000</v>
      </c>
      <c r="X69" s="1598">
        <v>155000000</v>
      </c>
      <c r="Y69" s="1820"/>
      <c r="Z69" s="1820"/>
      <c r="AA69" s="1808">
        <f>SUM(X69:Z69)</f>
        <v>155000000</v>
      </c>
      <c r="AB69" s="1598">
        <v>159000000</v>
      </c>
      <c r="AC69" s="1820"/>
      <c r="AD69" s="1820"/>
      <c r="AE69" s="1808">
        <f>SUM(AB69:AD69)</f>
        <v>159000000</v>
      </c>
      <c r="AF69" s="1808">
        <f t="shared" si="6"/>
        <v>617000000</v>
      </c>
      <c r="AG69" s="193"/>
      <c r="AH69" s="193"/>
      <c r="AI69" s="118"/>
      <c r="AJ69" s="3" t="s">
        <v>462</v>
      </c>
      <c r="AK69" s="3"/>
      <c r="AL69" s="3"/>
    </row>
    <row r="70" spans="1:38" s="1" customFormat="1" ht="56.25" hidden="1" x14ac:dyDescent="0.2">
      <c r="A70" s="4"/>
      <c r="B70" s="1783"/>
      <c r="C70" s="1446" t="s">
        <v>421</v>
      </c>
      <c r="D70" s="1689" t="s">
        <v>460</v>
      </c>
      <c r="E70" s="145"/>
      <c r="F70" s="145"/>
      <c r="G70" s="145"/>
      <c r="H70" s="145"/>
      <c r="I70" s="16" t="s">
        <v>528</v>
      </c>
      <c r="J70" s="53" t="s">
        <v>147</v>
      </c>
      <c r="K70" s="274">
        <v>100</v>
      </c>
      <c r="L70" s="274">
        <v>100</v>
      </c>
      <c r="M70" s="274">
        <v>100</v>
      </c>
      <c r="N70" s="274">
        <v>100</v>
      </c>
      <c r="O70" s="227">
        <v>100</v>
      </c>
      <c r="P70" s="1598"/>
      <c r="Q70" s="1598"/>
      <c r="R70" s="1598"/>
      <c r="S70" s="1598"/>
      <c r="T70" s="1598"/>
      <c r="U70" s="1821"/>
      <c r="V70" s="1821"/>
      <c r="W70" s="1598"/>
      <c r="X70" s="1598"/>
      <c r="Y70" s="1821"/>
      <c r="Z70" s="1821"/>
      <c r="AA70" s="1808"/>
      <c r="AB70" s="1598"/>
      <c r="AC70" s="1821"/>
      <c r="AD70" s="1821"/>
      <c r="AE70" s="1808"/>
      <c r="AF70" s="1808">
        <f t="shared" si="6"/>
        <v>0</v>
      </c>
      <c r="AG70" s="193"/>
      <c r="AH70" s="193"/>
      <c r="AI70" s="118"/>
      <c r="AJ70" s="3"/>
      <c r="AK70" s="3"/>
      <c r="AL70" s="3"/>
    </row>
    <row r="71" spans="1:38" s="1" customFormat="1" ht="11.25" hidden="1" x14ac:dyDescent="0.2">
      <c r="A71" s="4"/>
      <c r="B71" s="1783"/>
      <c r="C71" s="1447"/>
      <c r="D71" s="1778"/>
      <c r="E71" s="145"/>
      <c r="F71" s="145"/>
      <c r="G71" s="145"/>
      <c r="H71" s="145"/>
      <c r="I71" s="16" t="s">
        <v>376</v>
      </c>
      <c r="J71" s="53" t="s">
        <v>137</v>
      </c>
      <c r="K71" s="226">
        <v>500</v>
      </c>
      <c r="L71" s="226">
        <v>600</v>
      </c>
      <c r="M71" s="226">
        <v>700</v>
      </c>
      <c r="N71" s="226">
        <v>800</v>
      </c>
      <c r="O71" s="187">
        <f>SUM(K71:N71)</f>
        <v>2600</v>
      </c>
      <c r="P71" s="1598"/>
      <c r="Q71" s="1598"/>
      <c r="R71" s="1598"/>
      <c r="S71" s="1598">
        <f>SUM(P71:R71)</f>
        <v>0</v>
      </c>
      <c r="T71" s="1598"/>
      <c r="U71" s="1821"/>
      <c r="V71" s="1821"/>
      <c r="W71" s="1598">
        <f>SUM(T71:V71)</f>
        <v>0</v>
      </c>
      <c r="X71" s="1598"/>
      <c r="Y71" s="1821"/>
      <c r="Z71" s="1821"/>
      <c r="AA71" s="1808">
        <f>SUM(X71:Z71)</f>
        <v>0</v>
      </c>
      <c r="AB71" s="1598"/>
      <c r="AC71" s="1821"/>
      <c r="AD71" s="1821"/>
      <c r="AE71" s="1808">
        <f>SUM(AB71:AD71)</f>
        <v>0</v>
      </c>
      <c r="AF71" s="1808">
        <f t="shared" si="6"/>
        <v>0</v>
      </c>
      <c r="AG71" s="193"/>
      <c r="AH71" s="193"/>
      <c r="AI71" s="118"/>
      <c r="AJ71" s="3"/>
      <c r="AK71" s="3"/>
      <c r="AL71" s="3"/>
    </row>
    <row r="72" spans="1:38" s="1" customFormat="1" ht="45" hidden="1" x14ac:dyDescent="0.2">
      <c r="A72" s="4"/>
      <c r="B72" s="1783"/>
      <c r="C72" s="1448"/>
      <c r="D72" s="1779"/>
      <c r="E72" s="145"/>
      <c r="F72" s="145"/>
      <c r="G72" s="145"/>
      <c r="H72" s="145"/>
      <c r="I72" s="16" t="s">
        <v>531</v>
      </c>
      <c r="J72" s="53" t="s">
        <v>137</v>
      </c>
      <c r="K72" s="226">
        <v>4</v>
      </c>
      <c r="L72" s="226">
        <v>4</v>
      </c>
      <c r="M72" s="226">
        <v>4</v>
      </c>
      <c r="N72" s="226">
        <v>4</v>
      </c>
      <c r="O72" s="211">
        <f>SUM(K72:N72)</f>
        <v>16</v>
      </c>
      <c r="P72" s="1598"/>
      <c r="Q72" s="1598"/>
      <c r="R72" s="1598"/>
      <c r="S72" s="1598"/>
      <c r="T72" s="1598"/>
      <c r="U72" s="1821"/>
      <c r="V72" s="1821"/>
      <c r="W72" s="1598"/>
      <c r="X72" s="1598"/>
      <c r="Y72" s="1821"/>
      <c r="Z72" s="1821"/>
      <c r="AA72" s="1808"/>
      <c r="AB72" s="1598"/>
      <c r="AC72" s="1821"/>
      <c r="AD72" s="1821"/>
      <c r="AE72" s="1808"/>
      <c r="AF72" s="1808">
        <f t="shared" si="6"/>
        <v>0</v>
      </c>
      <c r="AG72" s="193"/>
      <c r="AH72" s="193"/>
      <c r="AI72" s="118"/>
      <c r="AJ72" s="3"/>
      <c r="AK72" s="3"/>
      <c r="AL72" s="3"/>
    </row>
    <row r="73" spans="1:38" s="1" customFormat="1" ht="45" hidden="1" x14ac:dyDescent="0.2">
      <c r="A73" s="4"/>
      <c r="B73" s="1564"/>
      <c r="C73" s="41" t="s">
        <v>374</v>
      </c>
      <c r="D73" s="41" t="s">
        <v>375</v>
      </c>
      <c r="E73" s="145"/>
      <c r="F73" s="145"/>
      <c r="G73" s="145"/>
      <c r="H73" s="145"/>
      <c r="I73" s="16" t="s">
        <v>461</v>
      </c>
      <c r="J73" s="291" t="s">
        <v>137</v>
      </c>
      <c r="K73" s="292">
        <v>1</v>
      </c>
      <c r="L73" s="292">
        <v>1</v>
      </c>
      <c r="M73" s="292">
        <v>1</v>
      </c>
      <c r="N73" s="292">
        <f>SUM(K73:M73)</f>
        <v>3</v>
      </c>
      <c r="O73" s="293">
        <v>3</v>
      </c>
      <c r="P73" s="1529"/>
      <c r="Q73" s="1529"/>
      <c r="R73" s="1529"/>
      <c r="S73" s="1529">
        <f>SUM(P73:R73)</f>
        <v>0</v>
      </c>
      <c r="T73" s="1529"/>
      <c r="U73" s="1821"/>
      <c r="V73" s="1821"/>
      <c r="W73" s="1529">
        <f>SUM(T73:V73)</f>
        <v>0</v>
      </c>
      <c r="X73" s="1529"/>
      <c r="Y73" s="1821"/>
      <c r="Z73" s="1821"/>
      <c r="AA73" s="1787">
        <f>SUM(X73:Z73)</f>
        <v>0</v>
      </c>
      <c r="AB73" s="1529"/>
      <c r="AC73" s="1821"/>
      <c r="AD73" s="1821"/>
      <c r="AE73" s="1787">
        <f>SUM(AB73:AD73)</f>
        <v>0</v>
      </c>
      <c r="AF73" s="1808">
        <f t="shared" si="6"/>
        <v>0</v>
      </c>
      <c r="AG73" s="193"/>
      <c r="AH73" s="193"/>
      <c r="AI73" s="118"/>
      <c r="AJ73" s="3"/>
      <c r="AK73" s="3"/>
      <c r="AL73" s="3"/>
    </row>
    <row r="74" spans="1:38" s="1" customFormat="1" ht="42.75" customHeight="1" x14ac:dyDescent="0.2">
      <c r="A74" s="289" t="s">
        <v>610</v>
      </c>
      <c r="B74" s="289" t="s">
        <v>610</v>
      </c>
      <c r="C74" s="315"/>
      <c r="D74" s="315"/>
      <c r="E74" s="316"/>
      <c r="F74" s="316"/>
      <c r="G74" s="316"/>
      <c r="H74" s="316"/>
      <c r="I74" s="315"/>
      <c r="J74" s="311"/>
      <c r="K74" s="319"/>
      <c r="L74" s="319"/>
      <c r="M74" s="319"/>
      <c r="N74" s="319"/>
      <c r="O74" s="320"/>
      <c r="P74" s="318">
        <f>+P75+P84+P89</f>
        <v>1910000000</v>
      </c>
      <c r="Q74" s="318">
        <f>+Q75+Q84+Q89</f>
        <v>0</v>
      </c>
      <c r="R74" s="318">
        <f>+R75+R84+R89</f>
        <v>812000000</v>
      </c>
      <c r="S74" s="318">
        <f>SUM(P74:R74)/1000000</f>
        <v>2722</v>
      </c>
      <c r="T74" s="318">
        <f>+T75+T84+T89</f>
        <v>1440384620</v>
      </c>
      <c r="U74" s="318">
        <f>+U75+U84+U89</f>
        <v>0</v>
      </c>
      <c r="V74" s="318">
        <f>+V75+V84+V89</f>
        <v>476976410</v>
      </c>
      <c r="W74" s="318">
        <f>SUM(T74:V74)/1000000</f>
        <v>1917.36103</v>
      </c>
      <c r="X74" s="318">
        <f>+X75+X84+X89</f>
        <v>1569000000</v>
      </c>
      <c r="Y74" s="318">
        <f>+Y75+Y84+Y89</f>
        <v>0</v>
      </c>
      <c r="Z74" s="318">
        <f>+Z75+Z84+Z89</f>
        <v>0</v>
      </c>
      <c r="AA74" s="318">
        <f>SUM(X74:Z74)/1000000</f>
        <v>1569</v>
      </c>
      <c r="AB74" s="318">
        <f>+AB75+AB84+AB89</f>
        <v>1349230780</v>
      </c>
      <c r="AC74" s="318">
        <f>+AC75+AC84+AC89</f>
        <v>0</v>
      </c>
      <c r="AD74" s="318">
        <f>+AD75+AD84+AD89</f>
        <v>0</v>
      </c>
      <c r="AE74" s="318">
        <f>SUM(AB74:AD74)/1000000</f>
        <v>1349.2307800000001</v>
      </c>
      <c r="AF74" s="308">
        <f t="shared" si="6"/>
        <v>7557.5918099999999</v>
      </c>
      <c r="AG74" s="334">
        <f>+AF74/AF184*100</f>
        <v>1.2610451673220008E-5</v>
      </c>
      <c r="AH74" s="198"/>
      <c r="AI74" s="238"/>
      <c r="AJ74" s="7"/>
      <c r="AK74" s="7"/>
      <c r="AL74" s="7"/>
    </row>
    <row r="75" spans="1:38" s="1" customFormat="1" ht="33.75" x14ac:dyDescent="0.2">
      <c r="A75" s="248"/>
      <c r="B75" s="19" t="s">
        <v>125</v>
      </c>
      <c r="C75" s="19"/>
      <c r="D75" s="19"/>
      <c r="E75" s="142"/>
      <c r="F75" s="142"/>
      <c r="G75" s="142"/>
      <c r="H75" s="142"/>
      <c r="I75" s="142"/>
      <c r="J75" s="173"/>
      <c r="K75" s="221"/>
      <c r="L75" s="221"/>
      <c r="M75" s="221"/>
      <c r="N75" s="221"/>
      <c r="O75" s="221"/>
      <c r="P75" s="155">
        <f>SUM(P76:P83)</f>
        <v>500000000</v>
      </c>
      <c r="Q75" s="155">
        <f>SUM(Q76:Q83)</f>
        <v>0</v>
      </c>
      <c r="R75" s="155">
        <f>SUM(R76:R83)</f>
        <v>312000000</v>
      </c>
      <c r="S75" s="371">
        <f>SUM(P75:R75)/1000000</f>
        <v>812</v>
      </c>
      <c r="T75" s="371">
        <f>SUM(T76:T83)</f>
        <v>380000000</v>
      </c>
      <c r="U75" s="371">
        <f>SUM(U76:U83)</f>
        <v>0</v>
      </c>
      <c r="V75" s="371">
        <f>SUM(V76:V83)</f>
        <v>0</v>
      </c>
      <c r="W75" s="371">
        <f>SUM(T75:V75)/1000000</f>
        <v>380</v>
      </c>
      <c r="X75" s="371">
        <f>SUM(X76:X83)</f>
        <v>370000000</v>
      </c>
      <c r="Y75" s="371">
        <f>SUM(Y76:Y83)</f>
        <v>0</v>
      </c>
      <c r="Z75" s="371">
        <f>SUM(Z76:Z83)</f>
        <v>0</v>
      </c>
      <c r="AA75" s="371">
        <f>SUM(X75:Z75)/1000000</f>
        <v>370</v>
      </c>
      <c r="AB75" s="371">
        <f>SUM(AB76:AB83)</f>
        <v>360000000</v>
      </c>
      <c r="AC75" s="371">
        <f>SUM(AC76:AC83)</f>
        <v>0</v>
      </c>
      <c r="AD75" s="371">
        <f>SUM(AD76:AD83)</f>
        <v>0</v>
      </c>
      <c r="AE75" s="371">
        <f>SUM(AB75:AD75)/1000000</f>
        <v>360</v>
      </c>
      <c r="AF75" s="371">
        <f t="shared" si="6"/>
        <v>1922</v>
      </c>
      <c r="AG75" s="198"/>
      <c r="AH75" s="193">
        <f>SUM(AF76:AF83)</f>
        <v>1922000000</v>
      </c>
      <c r="AI75" s="118">
        <v>237948000</v>
      </c>
      <c r="AJ75" s="254"/>
      <c r="AK75" s="3"/>
      <c r="AL75" s="3"/>
    </row>
    <row r="76" spans="1:38" s="1" customFormat="1" ht="22.5" hidden="1" x14ac:dyDescent="0.2">
      <c r="A76" s="248"/>
      <c r="B76" s="264"/>
      <c r="C76" s="41"/>
      <c r="D76" s="16" t="s">
        <v>494</v>
      </c>
      <c r="E76" s="144"/>
      <c r="F76" s="145"/>
      <c r="G76" s="145"/>
      <c r="H76" s="145"/>
      <c r="I76" s="41" t="s">
        <v>131</v>
      </c>
      <c r="J76" s="284" t="s">
        <v>136</v>
      </c>
      <c r="K76" s="223">
        <v>1</v>
      </c>
      <c r="L76" s="214"/>
      <c r="M76" s="214"/>
      <c r="N76" s="214"/>
      <c r="O76" s="217">
        <f>SUM(K76:N76)</f>
        <v>1</v>
      </c>
      <c r="P76" s="183">
        <f>166649341+68771944</f>
        <v>235421285</v>
      </c>
      <c r="Q76" s="261"/>
      <c r="R76" s="261"/>
      <c r="S76" s="270">
        <f>SUM(P76:R76)</f>
        <v>235421285</v>
      </c>
      <c r="T76" s="283">
        <v>60000000</v>
      </c>
      <c r="U76" s="283"/>
      <c r="V76" s="283"/>
      <c r="W76" s="283">
        <f t="shared" ref="W76:W82" si="7">SUM(T76:V76)</f>
        <v>60000000</v>
      </c>
      <c r="X76" s="283">
        <v>50000000</v>
      </c>
      <c r="Y76" s="283"/>
      <c r="Z76" s="283"/>
      <c r="AA76" s="283">
        <f t="shared" ref="AA76:AA82" si="8">SUM(X76:Z76)</f>
        <v>50000000</v>
      </c>
      <c r="AB76" s="270"/>
      <c r="AC76" s="270"/>
      <c r="AD76" s="270"/>
      <c r="AE76" s="270">
        <f t="shared" ref="AE76:AE82" si="9">SUM(AB76:AD76)</f>
        <v>0</v>
      </c>
      <c r="AF76" s="270">
        <f t="shared" si="6"/>
        <v>345421285</v>
      </c>
      <c r="AG76" s="193"/>
      <c r="AH76" s="193"/>
      <c r="AI76" s="118"/>
      <c r="AJ76" s="3"/>
      <c r="AK76" s="3"/>
      <c r="AL76" s="3"/>
    </row>
    <row r="77" spans="1:38" s="1" customFormat="1" ht="33.75" hidden="1" x14ac:dyDescent="0.2">
      <c r="A77" s="248"/>
      <c r="B77" s="264"/>
      <c r="C77" s="34" t="s">
        <v>495</v>
      </c>
      <c r="D77" s="34" t="s">
        <v>496</v>
      </c>
      <c r="E77" s="145"/>
      <c r="F77" s="145"/>
      <c r="G77" s="145"/>
      <c r="H77" s="145"/>
      <c r="I77" s="41" t="s">
        <v>132</v>
      </c>
      <c r="J77" s="174" t="s">
        <v>137</v>
      </c>
      <c r="K77" s="217">
        <v>2</v>
      </c>
      <c r="L77" s="217">
        <v>1</v>
      </c>
      <c r="M77" s="217">
        <v>1</v>
      </c>
      <c r="N77" s="217">
        <v>2</v>
      </c>
      <c r="O77" s="222">
        <v>2</v>
      </c>
      <c r="P77" s="183">
        <v>70000000</v>
      </c>
      <c r="Q77" s="261"/>
      <c r="R77" s="261"/>
      <c r="S77" s="270">
        <f>SUM(P77:R77)</f>
        <v>70000000</v>
      </c>
      <c r="T77" s="267">
        <v>50000000</v>
      </c>
      <c r="U77" s="270"/>
      <c r="V77" s="270"/>
      <c r="W77" s="270">
        <f t="shared" si="7"/>
        <v>50000000</v>
      </c>
      <c r="X77" s="267">
        <v>50000000</v>
      </c>
      <c r="Y77" s="270"/>
      <c r="Z77" s="270"/>
      <c r="AA77" s="270">
        <f t="shared" si="8"/>
        <v>50000000</v>
      </c>
      <c r="AB77" s="267">
        <v>80000000</v>
      </c>
      <c r="AC77" s="270"/>
      <c r="AD77" s="270"/>
      <c r="AE77" s="270">
        <f t="shared" si="9"/>
        <v>80000000</v>
      </c>
      <c r="AF77" s="270">
        <f t="shared" si="6"/>
        <v>250000000</v>
      </c>
      <c r="AG77" s="193"/>
      <c r="AH77" s="193"/>
      <c r="AI77" s="118"/>
      <c r="AJ77" s="3"/>
      <c r="AK77" s="3"/>
      <c r="AL77" s="3"/>
    </row>
    <row r="78" spans="1:38" s="1" customFormat="1" ht="22.5" hidden="1" customHeight="1" x14ac:dyDescent="0.2">
      <c r="A78" s="248"/>
      <c r="B78" s="143"/>
      <c r="C78" s="1818" t="s">
        <v>421</v>
      </c>
      <c r="D78" s="1689" t="s">
        <v>503</v>
      </c>
      <c r="E78" s="145"/>
      <c r="F78" s="145"/>
      <c r="G78" s="145"/>
      <c r="H78" s="145"/>
      <c r="I78" s="41" t="s">
        <v>502</v>
      </c>
      <c r="J78" s="284" t="s">
        <v>137</v>
      </c>
      <c r="K78" s="214">
        <v>1</v>
      </c>
      <c r="L78" s="214"/>
      <c r="M78" s="214"/>
      <c r="N78" s="214"/>
      <c r="O78" s="217">
        <f>SUM(K78:N78)</f>
        <v>1</v>
      </c>
      <c r="P78" s="183">
        <v>144578715</v>
      </c>
      <c r="Q78" s="261"/>
      <c r="R78" s="183"/>
      <c r="S78" s="270">
        <f>SUM(P78:R78)</f>
        <v>144578715</v>
      </c>
      <c r="T78" s="270"/>
      <c r="U78" s="270"/>
      <c r="V78" s="270"/>
      <c r="W78" s="270">
        <f t="shared" si="7"/>
        <v>0</v>
      </c>
      <c r="X78" s="270"/>
      <c r="Y78" s="270"/>
      <c r="Z78" s="332"/>
      <c r="AA78" s="270">
        <f t="shared" si="8"/>
        <v>0</v>
      </c>
      <c r="AB78" s="270"/>
      <c r="AC78" s="332"/>
      <c r="AD78" s="270"/>
      <c r="AE78" s="270">
        <f t="shared" si="9"/>
        <v>0</v>
      </c>
      <c r="AF78" s="270">
        <f t="shared" si="6"/>
        <v>144578715</v>
      </c>
      <c r="AG78" s="193"/>
      <c r="AH78" s="193"/>
      <c r="AI78" s="118"/>
      <c r="AJ78" s="3"/>
      <c r="AK78" s="3"/>
      <c r="AL78" s="3"/>
    </row>
    <row r="79" spans="1:38" s="1" customFormat="1" ht="22.5" hidden="1" x14ac:dyDescent="0.2">
      <c r="A79" s="248"/>
      <c r="B79" s="143"/>
      <c r="C79" s="1819"/>
      <c r="D79" s="1779"/>
      <c r="E79" s="145"/>
      <c r="F79" s="145"/>
      <c r="G79" s="145"/>
      <c r="H79" s="145"/>
      <c r="I79" s="41" t="s">
        <v>505</v>
      </c>
      <c r="J79" s="284" t="s">
        <v>137</v>
      </c>
      <c r="K79" s="214">
        <v>1</v>
      </c>
      <c r="L79" s="214">
        <v>1</v>
      </c>
      <c r="M79" s="214">
        <v>1</v>
      </c>
      <c r="N79" s="214">
        <v>1</v>
      </c>
      <c r="O79" s="217">
        <f>SUM(K79:N79)</f>
        <v>4</v>
      </c>
      <c r="P79" s="183">
        <v>50000000</v>
      </c>
      <c r="Q79" s="261"/>
      <c r="R79" s="183"/>
      <c r="S79" s="270">
        <f>SUM(P79:R79)</f>
        <v>50000000</v>
      </c>
      <c r="T79" s="267">
        <v>50000000</v>
      </c>
      <c r="U79" s="270"/>
      <c r="V79" s="270"/>
      <c r="W79" s="270">
        <f t="shared" si="7"/>
        <v>50000000</v>
      </c>
      <c r="X79" s="267">
        <v>50000000</v>
      </c>
      <c r="Y79" s="270"/>
      <c r="Z79" s="270"/>
      <c r="AA79" s="270">
        <f t="shared" si="8"/>
        <v>50000000</v>
      </c>
      <c r="AB79" s="267">
        <v>80000000</v>
      </c>
      <c r="AC79" s="270"/>
      <c r="AD79" s="270"/>
      <c r="AE79" s="270">
        <f t="shared" si="9"/>
        <v>80000000</v>
      </c>
      <c r="AF79" s="270">
        <f t="shared" si="6"/>
        <v>230000000</v>
      </c>
      <c r="AG79" s="193"/>
      <c r="AH79" s="193"/>
      <c r="AI79" s="118"/>
      <c r="AJ79" s="3"/>
      <c r="AK79" s="3"/>
      <c r="AL79" s="3"/>
    </row>
    <row r="80" spans="1:38" s="1" customFormat="1" ht="67.5" hidden="1" x14ac:dyDescent="0.2">
      <c r="A80" s="248"/>
      <c r="B80" s="143"/>
      <c r="C80" s="35" t="s">
        <v>560</v>
      </c>
      <c r="D80" s="41" t="s">
        <v>370</v>
      </c>
      <c r="E80" s="145"/>
      <c r="F80" s="145"/>
      <c r="G80" s="145"/>
      <c r="H80" s="145"/>
      <c r="I80" s="41" t="s">
        <v>500</v>
      </c>
      <c r="J80" s="170" t="s">
        <v>137</v>
      </c>
      <c r="K80" s="225">
        <v>3000</v>
      </c>
      <c r="L80" s="225">
        <v>10000</v>
      </c>
      <c r="M80" s="225">
        <v>5000</v>
      </c>
      <c r="N80" s="225"/>
      <c r="O80" s="224">
        <f>SUM(K80:N80)</f>
        <v>18000</v>
      </c>
      <c r="P80" s="183"/>
      <c r="Q80" s="261"/>
      <c r="R80" s="183"/>
      <c r="S80" s="270"/>
      <c r="T80" s="270">
        <v>40000000</v>
      </c>
      <c r="U80" s="270"/>
      <c r="V80" s="270"/>
      <c r="W80" s="270">
        <f t="shared" si="7"/>
        <v>40000000</v>
      </c>
      <c r="X80" s="270">
        <v>40000000</v>
      </c>
      <c r="Y80" s="270"/>
      <c r="Z80" s="332"/>
      <c r="AA80" s="270">
        <f t="shared" si="8"/>
        <v>40000000</v>
      </c>
      <c r="AB80" s="270"/>
      <c r="AC80" s="270"/>
      <c r="AD80" s="270"/>
      <c r="AE80" s="270">
        <f t="shared" si="9"/>
        <v>0</v>
      </c>
      <c r="AF80" s="270">
        <f t="shared" si="6"/>
        <v>80000000</v>
      </c>
      <c r="AG80" s="193"/>
      <c r="AH80" s="193"/>
      <c r="AI80" s="118"/>
      <c r="AJ80" s="3"/>
      <c r="AK80" s="3"/>
      <c r="AL80" s="3"/>
    </row>
    <row r="81" spans="1:38" s="1" customFormat="1" ht="123.75" hidden="1" x14ac:dyDescent="0.2">
      <c r="A81" s="248"/>
      <c r="B81" s="143"/>
      <c r="C81" s="41" t="s">
        <v>595</v>
      </c>
      <c r="D81" s="41" t="s">
        <v>596</v>
      </c>
      <c r="E81" s="145"/>
      <c r="F81" s="145"/>
      <c r="G81" s="145"/>
      <c r="H81" s="145"/>
      <c r="I81" s="41" t="s">
        <v>501</v>
      </c>
      <c r="J81" s="167" t="s">
        <v>137</v>
      </c>
      <c r="K81" s="225">
        <v>1</v>
      </c>
      <c r="L81" s="225">
        <v>3</v>
      </c>
      <c r="M81" s="225">
        <v>1</v>
      </c>
      <c r="N81" s="225">
        <v>1</v>
      </c>
      <c r="O81" s="224">
        <f>SUM(K81:N81)</f>
        <v>6</v>
      </c>
      <c r="P81" s="183"/>
      <c r="Q81" s="261"/>
      <c r="R81" s="183"/>
      <c r="S81" s="270"/>
      <c r="T81" s="270">
        <v>180000000</v>
      </c>
      <c r="U81" s="270"/>
      <c r="V81" s="270"/>
      <c r="W81" s="270">
        <f t="shared" si="7"/>
        <v>180000000</v>
      </c>
      <c r="X81" s="270">
        <v>180000000</v>
      </c>
      <c r="Y81" s="270"/>
      <c r="Z81" s="270"/>
      <c r="AA81" s="270">
        <f t="shared" si="8"/>
        <v>180000000</v>
      </c>
      <c r="AB81" s="270">
        <v>200000000</v>
      </c>
      <c r="AC81" s="270"/>
      <c r="AD81" s="270"/>
      <c r="AE81" s="270">
        <f t="shared" si="9"/>
        <v>200000000</v>
      </c>
      <c r="AF81" s="270">
        <f t="shared" si="6"/>
        <v>560000000</v>
      </c>
      <c r="AG81" s="193"/>
      <c r="AH81" s="193"/>
      <c r="AI81" s="118"/>
      <c r="AJ81" s="3"/>
      <c r="AK81" s="3"/>
      <c r="AL81" s="3"/>
    </row>
    <row r="82" spans="1:38" s="1" customFormat="1" ht="22.5" hidden="1" x14ac:dyDescent="0.2">
      <c r="A82" s="248"/>
      <c r="B82" s="264"/>
      <c r="C82" s="35" t="s">
        <v>499</v>
      </c>
      <c r="D82" s="1526" t="s">
        <v>59</v>
      </c>
      <c r="E82" s="145"/>
      <c r="F82" s="145"/>
      <c r="G82" s="145"/>
      <c r="H82" s="145"/>
      <c r="I82" s="145" t="s">
        <v>497</v>
      </c>
      <c r="J82" s="174" t="s">
        <v>394</v>
      </c>
      <c r="K82" s="217">
        <v>2</v>
      </c>
      <c r="L82" s="217"/>
      <c r="M82" s="217"/>
      <c r="N82" s="217"/>
      <c r="O82" s="217"/>
      <c r="P82" s="1780"/>
      <c r="Q82" s="1780"/>
      <c r="R82" s="1780">
        <v>312000000</v>
      </c>
      <c r="S82" s="1780">
        <f>SUM(P82:R82)</f>
        <v>312000000</v>
      </c>
      <c r="T82" s="1780"/>
      <c r="U82" s="1780"/>
      <c r="V82" s="1780"/>
      <c r="W82" s="1780">
        <f t="shared" si="7"/>
        <v>0</v>
      </c>
      <c r="X82" s="1780"/>
      <c r="Y82" s="1780"/>
      <c r="Z82" s="1780"/>
      <c r="AA82" s="1780">
        <f t="shared" si="8"/>
        <v>0</v>
      </c>
      <c r="AB82" s="1780"/>
      <c r="AC82" s="1780"/>
      <c r="AD82" s="1780"/>
      <c r="AE82" s="1780">
        <f t="shared" si="9"/>
        <v>0</v>
      </c>
      <c r="AF82" s="1780">
        <f t="shared" si="6"/>
        <v>312000000</v>
      </c>
      <c r="AG82" s="332"/>
      <c r="AH82" s="193"/>
      <c r="AI82" s="118"/>
      <c r="AJ82" s="3"/>
      <c r="AK82" s="3"/>
      <c r="AL82" s="3"/>
    </row>
    <row r="83" spans="1:38" s="1" customFormat="1" ht="22.5" hidden="1" x14ac:dyDescent="0.2">
      <c r="A83" s="248"/>
      <c r="B83" s="264"/>
      <c r="C83" s="35" t="s">
        <v>498</v>
      </c>
      <c r="D83" s="1528"/>
      <c r="E83" s="145"/>
      <c r="F83" s="145"/>
      <c r="G83" s="145"/>
      <c r="H83" s="145"/>
      <c r="I83" s="145" t="s">
        <v>504</v>
      </c>
      <c r="J83" s="174" t="s">
        <v>137</v>
      </c>
      <c r="K83" s="217">
        <v>2</v>
      </c>
      <c r="L83" s="217"/>
      <c r="M83" s="217"/>
      <c r="N83" s="217"/>
      <c r="O83" s="217"/>
      <c r="P83" s="1782"/>
      <c r="Q83" s="1782"/>
      <c r="R83" s="1782"/>
      <c r="S83" s="1782"/>
      <c r="T83" s="1782"/>
      <c r="U83" s="1782"/>
      <c r="V83" s="1782"/>
      <c r="W83" s="1782"/>
      <c r="X83" s="1782"/>
      <c r="Y83" s="1782"/>
      <c r="Z83" s="1782"/>
      <c r="AA83" s="1782"/>
      <c r="AB83" s="1782"/>
      <c r="AC83" s="1782"/>
      <c r="AD83" s="1782"/>
      <c r="AE83" s="1782"/>
      <c r="AF83" s="1782"/>
      <c r="AG83" s="332"/>
      <c r="AH83" s="193"/>
      <c r="AI83" s="118"/>
      <c r="AJ83" s="3"/>
      <c r="AK83" s="3"/>
      <c r="AL83" s="3"/>
    </row>
    <row r="84" spans="1:38" s="1" customFormat="1" ht="22.5" x14ac:dyDescent="0.2">
      <c r="A84" s="248"/>
      <c r="B84" s="19" t="s">
        <v>60</v>
      </c>
      <c r="C84" s="19"/>
      <c r="D84" s="19"/>
      <c r="E84" s="142"/>
      <c r="F84" s="142"/>
      <c r="G84" s="142"/>
      <c r="H84" s="142"/>
      <c r="I84" s="142"/>
      <c r="J84" s="173"/>
      <c r="K84" s="221"/>
      <c r="L84" s="221"/>
      <c r="M84" s="221"/>
      <c r="N84" s="221"/>
      <c r="O84" s="221"/>
      <c r="P84" s="155">
        <f>SUM(P85:P88)</f>
        <v>390000000</v>
      </c>
      <c r="Q84" s="155">
        <f>SUM(Q85:Q88)</f>
        <v>0</v>
      </c>
      <c r="R84" s="155">
        <f>SUM(R85:R88)</f>
        <v>500000000</v>
      </c>
      <c r="S84" s="371">
        <f>SUM(P84:R84)/1000000</f>
        <v>890</v>
      </c>
      <c r="T84" s="371">
        <f>SUM(T85:T88)</f>
        <v>105000000</v>
      </c>
      <c r="U84" s="371">
        <f>SUM(U85:U88)</f>
        <v>0</v>
      </c>
      <c r="V84" s="371">
        <f>SUM(V85:V88)</f>
        <v>476976410</v>
      </c>
      <c r="W84" s="371">
        <f>SUM(T84:V84)/1000000</f>
        <v>581.97640999999999</v>
      </c>
      <c r="X84" s="371">
        <f>SUM(X85:X88)</f>
        <v>170000000</v>
      </c>
      <c r="Y84" s="371">
        <f>SUM(Y85:Y88)</f>
        <v>0</v>
      </c>
      <c r="Z84" s="371">
        <f>SUM(Z85:Z88)</f>
        <v>0</v>
      </c>
      <c r="AA84" s="371">
        <f>SUM(X84:Z84)/1000000</f>
        <v>170</v>
      </c>
      <c r="AB84" s="371">
        <f>SUM(AB85:AB88)</f>
        <v>140000000</v>
      </c>
      <c r="AC84" s="371">
        <f>SUM(AC85:AC88)</f>
        <v>0</v>
      </c>
      <c r="AD84" s="371">
        <f>SUM(AD85:AD88)</f>
        <v>0</v>
      </c>
      <c r="AE84" s="371">
        <f>SUM(AB84:AD84)/1000000</f>
        <v>140</v>
      </c>
      <c r="AF84" s="371">
        <f>+S84+W84+AA84+AE84</f>
        <v>1781.97641</v>
      </c>
      <c r="AG84" s="198"/>
      <c r="AH84" s="193">
        <f>SUM(AF85:AF88)</f>
        <v>1781976410</v>
      </c>
      <c r="AI84" s="118">
        <v>258028000</v>
      </c>
      <c r="AJ84" s="3"/>
      <c r="AK84" s="3"/>
      <c r="AL84" s="3"/>
    </row>
    <row r="85" spans="1:38" s="1" customFormat="1" ht="45" hidden="1" x14ac:dyDescent="0.2">
      <c r="A85" s="248"/>
      <c r="B85" s="1809"/>
      <c r="C85" s="41"/>
      <c r="D85" s="41" t="s">
        <v>371</v>
      </c>
      <c r="E85" s="145"/>
      <c r="F85" s="145"/>
      <c r="G85" s="145"/>
      <c r="H85" s="145"/>
      <c r="I85" s="41" t="s">
        <v>506</v>
      </c>
      <c r="J85" s="167" t="s">
        <v>507</v>
      </c>
      <c r="K85" s="232" t="s">
        <v>391</v>
      </c>
      <c r="L85" s="232" t="s">
        <v>391</v>
      </c>
      <c r="M85" s="214"/>
      <c r="N85" s="214"/>
      <c r="O85" s="217">
        <f>SUM(K85:N85)</f>
        <v>0</v>
      </c>
      <c r="P85" s="183">
        <v>250000000</v>
      </c>
      <c r="Q85" s="261"/>
      <c r="R85" s="261">
        <v>500000000</v>
      </c>
      <c r="S85" s="270">
        <f>SUM(P85:R85)</f>
        <v>750000000</v>
      </c>
      <c r="T85" s="372"/>
      <c r="U85" s="332"/>
      <c r="V85" s="270">
        <v>476976410</v>
      </c>
      <c r="W85" s="270">
        <f>SUM(T85:V85)</f>
        <v>476976410</v>
      </c>
      <c r="X85" s="270"/>
      <c r="Y85" s="372"/>
      <c r="Z85" s="332"/>
      <c r="AA85" s="270">
        <f>SUM(X85:Z85)</f>
        <v>0</v>
      </c>
      <c r="AB85" s="270"/>
      <c r="AC85" s="270"/>
      <c r="AD85" s="270"/>
      <c r="AE85" s="270">
        <f>SUM(AB85:AD85)</f>
        <v>0</v>
      </c>
      <c r="AF85" s="270">
        <f>+S85+W85+AA85+AE85</f>
        <v>1226976410</v>
      </c>
      <c r="AG85" s="193"/>
      <c r="AH85" s="193"/>
      <c r="AI85" s="118"/>
      <c r="AJ85" s="3" t="s">
        <v>487</v>
      </c>
      <c r="AK85" s="3"/>
      <c r="AL85" s="3"/>
    </row>
    <row r="86" spans="1:38" s="1" customFormat="1" ht="22.5" hidden="1" x14ac:dyDescent="0.2">
      <c r="A86" s="248"/>
      <c r="B86" s="1810"/>
      <c r="C86" s="1563"/>
      <c r="D86" s="1689" t="s">
        <v>508</v>
      </c>
      <c r="E86" s="42"/>
      <c r="F86" s="42"/>
      <c r="G86" s="42"/>
      <c r="H86" s="42"/>
      <c r="I86" s="41" t="s">
        <v>509</v>
      </c>
      <c r="J86" s="167" t="s">
        <v>137</v>
      </c>
      <c r="K86" s="225">
        <v>56</v>
      </c>
      <c r="L86" s="225">
        <v>30</v>
      </c>
      <c r="M86" s="225">
        <v>56</v>
      </c>
      <c r="N86" s="225">
        <v>56</v>
      </c>
      <c r="O86" s="224">
        <f>SUM(K86:N86)</f>
        <v>198</v>
      </c>
      <c r="P86" s="1422">
        <v>140000000</v>
      </c>
      <c r="Q86" s="1422"/>
      <c r="R86" s="1422"/>
      <c r="S86" s="1422">
        <f>SUM(P86:R86)</f>
        <v>140000000</v>
      </c>
      <c r="T86" s="1422">
        <v>75000000</v>
      </c>
      <c r="U86" s="1422"/>
      <c r="V86" s="1422"/>
      <c r="W86" s="1422">
        <f>SUM(T86:V86)</f>
        <v>75000000</v>
      </c>
      <c r="X86" s="1422">
        <v>140000000</v>
      </c>
      <c r="Y86" s="1422"/>
      <c r="Z86" s="1422"/>
      <c r="AA86" s="1422">
        <f>SUM(X86:Z86)</f>
        <v>140000000</v>
      </c>
      <c r="AB86" s="1422">
        <v>140000000</v>
      </c>
      <c r="AC86" s="1422"/>
      <c r="AD86" s="1422"/>
      <c r="AE86" s="1422">
        <f>SUM(AB86:AD86)</f>
        <v>140000000</v>
      </c>
      <c r="AF86" s="1422">
        <f>+S86+W86+AA86+AE86</f>
        <v>495000000</v>
      </c>
      <c r="AG86" s="332"/>
      <c r="AH86" s="193"/>
      <c r="AI86" s="118"/>
      <c r="AJ86" s="3"/>
      <c r="AK86" s="3"/>
      <c r="AL86" s="3"/>
    </row>
    <row r="87" spans="1:38" s="1" customFormat="1" ht="11.25" hidden="1" x14ac:dyDescent="0.2">
      <c r="A87" s="248"/>
      <c r="B87" s="1810"/>
      <c r="C87" s="1564"/>
      <c r="D87" s="1779"/>
      <c r="E87" s="42"/>
      <c r="F87" s="42"/>
      <c r="G87" s="42"/>
      <c r="H87" s="42"/>
      <c r="I87" s="41" t="s">
        <v>418</v>
      </c>
      <c r="J87" s="167" t="s">
        <v>137</v>
      </c>
      <c r="K87" s="225">
        <v>28</v>
      </c>
      <c r="L87" s="225">
        <v>15</v>
      </c>
      <c r="M87" s="225">
        <v>28</v>
      </c>
      <c r="N87" s="225">
        <v>28</v>
      </c>
      <c r="O87" s="224">
        <f>SUM(K87:N87)</f>
        <v>99</v>
      </c>
      <c r="P87" s="1423"/>
      <c r="Q87" s="1423"/>
      <c r="R87" s="1423"/>
      <c r="S87" s="1423"/>
      <c r="T87" s="1423"/>
      <c r="U87" s="1423"/>
      <c r="V87" s="1423"/>
      <c r="W87" s="1423"/>
      <c r="X87" s="1423"/>
      <c r="Y87" s="1423"/>
      <c r="Z87" s="1423"/>
      <c r="AA87" s="1423"/>
      <c r="AB87" s="1423"/>
      <c r="AC87" s="1423"/>
      <c r="AD87" s="1423"/>
      <c r="AE87" s="1423"/>
      <c r="AF87" s="1423"/>
      <c r="AG87" s="332"/>
      <c r="AH87" s="193"/>
      <c r="AI87" s="118"/>
      <c r="AJ87" s="3"/>
      <c r="AK87" s="3"/>
      <c r="AL87" s="3"/>
    </row>
    <row r="88" spans="1:38" s="1" customFormat="1" ht="22.5" hidden="1" x14ac:dyDescent="0.2">
      <c r="A88" s="248"/>
      <c r="B88" s="1811"/>
      <c r="C88" s="262" t="s">
        <v>421</v>
      </c>
      <c r="D88" s="257" t="s">
        <v>598</v>
      </c>
      <c r="E88" s="42"/>
      <c r="F88" s="42"/>
      <c r="G88" s="42"/>
      <c r="H88" s="42"/>
      <c r="I88" s="147" t="s">
        <v>599</v>
      </c>
      <c r="J88" s="167" t="s">
        <v>147</v>
      </c>
      <c r="K88" s="225"/>
      <c r="L88" s="225">
        <v>50</v>
      </c>
      <c r="M88" s="225">
        <v>50</v>
      </c>
      <c r="N88" s="225"/>
      <c r="O88" s="224">
        <f>SUM(K88:N88)</f>
        <v>100</v>
      </c>
      <c r="P88" s="252"/>
      <c r="Q88" s="252"/>
      <c r="R88" s="252"/>
      <c r="S88" s="252">
        <f>SUM(P88:R88)</f>
        <v>0</v>
      </c>
      <c r="T88" s="252">
        <v>30000000</v>
      </c>
      <c r="U88" s="252"/>
      <c r="V88" s="252"/>
      <c r="W88" s="252">
        <f>SUM(T88:V88)</f>
        <v>30000000</v>
      </c>
      <c r="X88" s="252">
        <v>30000000</v>
      </c>
      <c r="Y88" s="252"/>
      <c r="Z88" s="252"/>
      <c r="AA88" s="252">
        <f>SUM(X88:Z88)</f>
        <v>30000000</v>
      </c>
      <c r="AB88" s="252"/>
      <c r="AC88" s="252"/>
      <c r="AD88" s="252"/>
      <c r="AE88" s="252">
        <f>SUM(AB88:AD88)</f>
        <v>0</v>
      </c>
      <c r="AF88" s="270">
        <f t="shared" ref="AF88:AF134" si="10">+S88+W88+AA88+AE88</f>
        <v>60000000</v>
      </c>
      <c r="AG88" s="193"/>
      <c r="AH88" s="193"/>
      <c r="AI88" s="118"/>
      <c r="AJ88" s="3"/>
      <c r="AK88" s="3"/>
      <c r="AL88" s="3"/>
    </row>
    <row r="89" spans="1:38" s="1" customFormat="1" ht="33.75" x14ac:dyDescent="0.2">
      <c r="A89" s="248"/>
      <c r="B89" s="19" t="s">
        <v>63</v>
      </c>
      <c r="C89" s="19"/>
      <c r="D89" s="19"/>
      <c r="E89" s="142"/>
      <c r="F89" s="142"/>
      <c r="G89" s="142"/>
      <c r="H89" s="142"/>
      <c r="I89" s="285"/>
      <c r="J89" s="173"/>
      <c r="K89" s="221"/>
      <c r="L89" s="221"/>
      <c r="M89" s="221"/>
      <c r="N89" s="221"/>
      <c r="O89" s="221"/>
      <c r="P89" s="155">
        <f>SUM(P90:P97)</f>
        <v>1020000000</v>
      </c>
      <c r="Q89" s="155">
        <f>SUM(Q90:Q97)</f>
        <v>0</v>
      </c>
      <c r="R89" s="155">
        <f>SUM(R90:R97)</f>
        <v>0</v>
      </c>
      <c r="S89" s="371">
        <f>SUM(P89:R89)/1000000</f>
        <v>1020</v>
      </c>
      <c r="T89" s="371">
        <f>SUM(T90:T97)</f>
        <v>955384620</v>
      </c>
      <c r="U89" s="371">
        <f>SUM(U90:U97)</f>
        <v>0</v>
      </c>
      <c r="V89" s="371">
        <f>SUM(V90:V97)</f>
        <v>0</v>
      </c>
      <c r="W89" s="371">
        <f>SUM(T89:V89)/1000000</f>
        <v>955.38462000000004</v>
      </c>
      <c r="X89" s="371">
        <f>SUM(X90:X97)</f>
        <v>1029000000</v>
      </c>
      <c r="Y89" s="371">
        <f>SUM(Y90:Y97)</f>
        <v>0</v>
      </c>
      <c r="Z89" s="371">
        <f>SUM(Z90:Z97)</f>
        <v>0</v>
      </c>
      <c r="AA89" s="371">
        <f>SUM(X89:Z89)/1000000</f>
        <v>1029</v>
      </c>
      <c r="AB89" s="371">
        <f>SUM(AB90:AB97)</f>
        <v>849230780</v>
      </c>
      <c r="AC89" s="371">
        <f>SUM(AC90:AC97)</f>
        <v>0</v>
      </c>
      <c r="AD89" s="371">
        <f>SUM(AD90:AD97)</f>
        <v>0</v>
      </c>
      <c r="AE89" s="371">
        <f>SUM(AB89:AD89)/1000000</f>
        <v>849.23077999999998</v>
      </c>
      <c r="AF89" s="371">
        <f t="shared" si="10"/>
        <v>3853.6153999999997</v>
      </c>
      <c r="AG89" s="198"/>
      <c r="AH89" s="193">
        <f>SUM(AF90:AF97)</f>
        <v>3853615400</v>
      </c>
      <c r="AI89" s="118">
        <v>273715605</v>
      </c>
      <c r="AJ89" s="3"/>
      <c r="AK89" s="3"/>
      <c r="AL89" s="3"/>
    </row>
    <row r="90" spans="1:38" s="1" customFormat="1" ht="78.75" hidden="1" x14ac:dyDescent="0.2">
      <c r="A90" s="248"/>
      <c r="B90" s="1810"/>
      <c r="C90" s="41"/>
      <c r="D90" s="16" t="s">
        <v>510</v>
      </c>
      <c r="E90" s="145"/>
      <c r="F90" s="145"/>
      <c r="G90" s="145"/>
      <c r="H90" s="145"/>
      <c r="I90" s="50" t="s">
        <v>556</v>
      </c>
      <c r="J90" s="271" t="s">
        <v>507</v>
      </c>
      <c r="K90" s="232">
        <v>26</v>
      </c>
      <c r="L90" s="232">
        <v>12</v>
      </c>
      <c r="M90" s="232">
        <v>28</v>
      </c>
      <c r="N90" s="232">
        <v>28</v>
      </c>
      <c r="O90" s="228">
        <f>+N90+M90+L90+K90</f>
        <v>94</v>
      </c>
      <c r="P90" s="183">
        <v>120000000</v>
      </c>
      <c r="Q90" s="261"/>
      <c r="R90" s="261"/>
      <c r="S90" s="261">
        <f t="shared" ref="S90:S107" si="11">SUM(P90:R90)</f>
        <v>120000000</v>
      </c>
      <c r="T90" s="261">
        <v>55384620</v>
      </c>
      <c r="U90" s="261"/>
      <c r="V90" s="261"/>
      <c r="W90" s="261">
        <f t="shared" ref="W90:W107" si="12">SUM(T90:V90)</f>
        <v>55384620</v>
      </c>
      <c r="X90" s="261">
        <v>129000000</v>
      </c>
      <c r="Y90" s="193"/>
      <c r="Z90" s="261"/>
      <c r="AA90" s="261">
        <f t="shared" ref="AA90:AA107" si="13">SUM(X90:Z90)</f>
        <v>129000000</v>
      </c>
      <c r="AB90" s="261">
        <v>129230780</v>
      </c>
      <c r="AC90" s="261"/>
      <c r="AD90" s="261"/>
      <c r="AE90" s="261">
        <f t="shared" ref="AE90:AE107" si="14">SUM(AB90:AD90)</f>
        <v>129230780</v>
      </c>
      <c r="AF90" s="261">
        <f t="shared" si="10"/>
        <v>433615400</v>
      </c>
      <c r="AG90" s="193"/>
      <c r="AH90" s="193"/>
      <c r="AI90" s="118"/>
      <c r="AJ90" s="3"/>
      <c r="AK90" s="3"/>
      <c r="AL90" s="3"/>
    </row>
    <row r="91" spans="1:38" s="1" customFormat="1" ht="33.75" hidden="1" x14ac:dyDescent="0.2">
      <c r="A91" s="248"/>
      <c r="B91" s="1810"/>
      <c r="C91" s="35" t="s">
        <v>492</v>
      </c>
      <c r="D91" s="21" t="s">
        <v>126</v>
      </c>
      <c r="E91" s="145"/>
      <c r="F91" s="145"/>
      <c r="G91" s="145"/>
      <c r="H91" s="145"/>
      <c r="I91" s="41" t="s">
        <v>511</v>
      </c>
      <c r="J91" s="167" t="s">
        <v>137</v>
      </c>
      <c r="K91" s="214">
        <v>1</v>
      </c>
      <c r="L91" s="214">
        <v>1</v>
      </c>
      <c r="M91" s="214">
        <v>1</v>
      </c>
      <c r="N91" s="214">
        <v>1</v>
      </c>
      <c r="O91" s="217">
        <f>+N91+M91+L91+K91</f>
        <v>4</v>
      </c>
      <c r="P91" s="183">
        <v>70000000</v>
      </c>
      <c r="Q91" s="261"/>
      <c r="R91" s="261"/>
      <c r="S91" s="261">
        <f t="shared" si="11"/>
        <v>70000000</v>
      </c>
      <c r="T91" s="261">
        <v>70000000</v>
      </c>
      <c r="U91" s="261"/>
      <c r="V91" s="261"/>
      <c r="W91" s="261">
        <f t="shared" si="12"/>
        <v>70000000</v>
      </c>
      <c r="X91" s="261">
        <v>70000000</v>
      </c>
      <c r="Y91" s="261"/>
      <c r="Z91" s="193"/>
      <c r="AA91" s="261">
        <f t="shared" si="13"/>
        <v>70000000</v>
      </c>
      <c r="AB91" s="261">
        <v>70000000</v>
      </c>
      <c r="AC91" s="261"/>
      <c r="AD91" s="261"/>
      <c r="AE91" s="261">
        <f t="shared" si="14"/>
        <v>70000000</v>
      </c>
      <c r="AF91" s="261">
        <f t="shared" si="10"/>
        <v>280000000</v>
      </c>
      <c r="AG91" s="193"/>
      <c r="AH91" s="193"/>
      <c r="AI91" s="118"/>
      <c r="AJ91" s="3"/>
      <c r="AK91" s="3"/>
      <c r="AL91" s="3"/>
    </row>
    <row r="92" spans="1:38" s="1" customFormat="1" ht="45" hidden="1" x14ac:dyDescent="0.2">
      <c r="A92" s="248"/>
      <c r="B92" s="1810"/>
      <c r="C92" s="35" t="s">
        <v>557</v>
      </c>
      <c r="D92" s="41" t="s">
        <v>597</v>
      </c>
      <c r="E92" s="145"/>
      <c r="F92" s="145"/>
      <c r="G92" s="145"/>
      <c r="H92" s="145"/>
      <c r="I92" s="41" t="s">
        <v>372</v>
      </c>
      <c r="J92" s="167" t="s">
        <v>138</v>
      </c>
      <c r="K92" s="214">
        <v>4</v>
      </c>
      <c r="L92" s="214">
        <v>4</v>
      </c>
      <c r="M92" s="214">
        <v>4</v>
      </c>
      <c r="N92" s="214">
        <v>4</v>
      </c>
      <c r="O92" s="217">
        <v>4</v>
      </c>
      <c r="P92" s="183">
        <v>130000000</v>
      </c>
      <c r="Q92" s="261"/>
      <c r="R92" s="261"/>
      <c r="S92" s="261">
        <f t="shared" si="11"/>
        <v>130000000</v>
      </c>
      <c r="T92" s="261">
        <v>100000000</v>
      </c>
      <c r="U92" s="261"/>
      <c r="V92" s="261"/>
      <c r="W92" s="261">
        <f t="shared" si="12"/>
        <v>100000000</v>
      </c>
      <c r="X92" s="261">
        <v>100000000</v>
      </c>
      <c r="Y92" s="261"/>
      <c r="Z92" s="261"/>
      <c r="AA92" s="261">
        <f t="shared" si="13"/>
        <v>100000000</v>
      </c>
      <c r="AB92" s="261">
        <v>150000000</v>
      </c>
      <c r="AC92" s="261"/>
      <c r="AD92" s="261"/>
      <c r="AE92" s="261">
        <f t="shared" si="14"/>
        <v>150000000</v>
      </c>
      <c r="AF92" s="261">
        <f t="shared" si="10"/>
        <v>480000000</v>
      </c>
      <c r="AG92" s="193"/>
      <c r="AH92" s="193"/>
      <c r="AI92" s="118"/>
      <c r="AJ92" s="3"/>
      <c r="AK92" s="3"/>
      <c r="AL92" s="3"/>
    </row>
    <row r="93" spans="1:38" s="1" customFormat="1" ht="45" hidden="1" x14ac:dyDescent="0.2">
      <c r="A93" s="248"/>
      <c r="B93" s="1810"/>
      <c r="C93" s="35" t="s">
        <v>512</v>
      </c>
      <c r="D93" s="21" t="s">
        <v>127</v>
      </c>
      <c r="E93" s="145"/>
      <c r="F93" s="145"/>
      <c r="G93" s="145"/>
      <c r="H93" s="145"/>
      <c r="I93" s="41" t="s">
        <v>133</v>
      </c>
      <c r="J93" s="175" t="s">
        <v>137</v>
      </c>
      <c r="K93" s="225">
        <v>2</v>
      </c>
      <c r="L93" s="225">
        <v>3</v>
      </c>
      <c r="M93" s="225">
        <v>3</v>
      </c>
      <c r="N93" s="225">
        <v>3</v>
      </c>
      <c r="O93" s="217">
        <v>3</v>
      </c>
      <c r="P93" s="183">
        <v>250000000</v>
      </c>
      <c r="Q93" s="261"/>
      <c r="R93" s="261"/>
      <c r="S93" s="261">
        <f t="shared" si="11"/>
        <v>250000000</v>
      </c>
      <c r="T93" s="261">
        <v>250000000</v>
      </c>
      <c r="U93" s="194"/>
      <c r="V93" s="193"/>
      <c r="W93" s="261">
        <f t="shared" si="12"/>
        <v>250000000</v>
      </c>
      <c r="X93" s="261">
        <v>250000000</v>
      </c>
      <c r="Y93" s="194"/>
      <c r="Z93" s="193"/>
      <c r="AA93" s="261">
        <f t="shared" si="13"/>
        <v>250000000</v>
      </c>
      <c r="AB93" s="261">
        <v>250000000</v>
      </c>
      <c r="AC93" s="261"/>
      <c r="AD93" s="261"/>
      <c r="AE93" s="261">
        <f t="shared" si="14"/>
        <v>250000000</v>
      </c>
      <c r="AF93" s="261">
        <f t="shared" si="10"/>
        <v>1000000000</v>
      </c>
      <c r="AG93" s="193"/>
      <c r="AH93" s="193"/>
      <c r="AI93" s="118"/>
      <c r="AJ93" s="3"/>
      <c r="AK93" s="3"/>
      <c r="AL93" s="3"/>
    </row>
    <row r="94" spans="1:38" s="1" customFormat="1" ht="56.25" hidden="1" x14ac:dyDescent="0.2">
      <c r="A94" s="248"/>
      <c r="B94" s="1810"/>
      <c r="C94" s="35"/>
      <c r="D94" s="21" t="s">
        <v>68</v>
      </c>
      <c r="E94" s="145"/>
      <c r="F94" s="145"/>
      <c r="G94" s="145"/>
      <c r="H94" s="145"/>
      <c r="I94" s="50" t="s">
        <v>513</v>
      </c>
      <c r="J94" s="272" t="s">
        <v>137</v>
      </c>
      <c r="K94" s="273">
        <v>1</v>
      </c>
      <c r="L94" s="273">
        <v>1</v>
      </c>
      <c r="M94" s="273">
        <v>1</v>
      </c>
      <c r="N94" s="273">
        <v>1</v>
      </c>
      <c r="O94" s="222">
        <v>1</v>
      </c>
      <c r="P94" s="183">
        <v>300000000</v>
      </c>
      <c r="Q94" s="261"/>
      <c r="R94" s="261"/>
      <c r="S94" s="261">
        <f t="shared" si="11"/>
        <v>300000000</v>
      </c>
      <c r="T94" s="261">
        <v>330000000</v>
      </c>
      <c r="U94" s="193"/>
      <c r="V94" s="261"/>
      <c r="W94" s="261">
        <f t="shared" si="12"/>
        <v>330000000</v>
      </c>
      <c r="X94" s="261">
        <f>+T94</f>
        <v>330000000</v>
      </c>
      <c r="Y94" s="193"/>
      <c r="Z94" s="261"/>
      <c r="AA94" s="261">
        <f t="shared" si="13"/>
        <v>330000000</v>
      </c>
      <c r="AB94" s="261">
        <v>100000000</v>
      </c>
      <c r="AC94" s="261"/>
      <c r="AD94" s="261"/>
      <c r="AE94" s="261">
        <f t="shared" si="14"/>
        <v>100000000</v>
      </c>
      <c r="AF94" s="261">
        <f t="shared" si="10"/>
        <v>1060000000</v>
      </c>
      <c r="AG94" s="193"/>
      <c r="AH94" s="193"/>
      <c r="AI94" s="118"/>
      <c r="AJ94" s="3"/>
      <c r="AK94" s="3"/>
      <c r="AL94" s="3"/>
    </row>
    <row r="95" spans="1:38" s="1" customFormat="1" ht="45" hidden="1" x14ac:dyDescent="0.2">
      <c r="A95" s="248"/>
      <c r="B95" s="1810"/>
      <c r="C95" s="35"/>
      <c r="D95" s="21" t="s">
        <v>514</v>
      </c>
      <c r="E95" s="145"/>
      <c r="F95" s="145"/>
      <c r="G95" s="145"/>
      <c r="H95" s="145"/>
      <c r="I95" s="41" t="s">
        <v>134</v>
      </c>
      <c r="J95" s="167" t="s">
        <v>137</v>
      </c>
      <c r="K95" s="214">
        <v>3</v>
      </c>
      <c r="L95" s="214">
        <v>3</v>
      </c>
      <c r="M95" s="214">
        <v>3</v>
      </c>
      <c r="N95" s="214">
        <v>3</v>
      </c>
      <c r="O95" s="222">
        <v>3</v>
      </c>
      <c r="P95" s="183">
        <v>40000000</v>
      </c>
      <c r="Q95" s="261"/>
      <c r="R95" s="183"/>
      <c r="S95" s="261">
        <f t="shared" si="11"/>
        <v>40000000</v>
      </c>
      <c r="T95" s="183">
        <v>60000000</v>
      </c>
      <c r="U95" s="261"/>
      <c r="V95" s="183"/>
      <c r="W95" s="261">
        <f t="shared" si="12"/>
        <v>60000000</v>
      </c>
      <c r="X95" s="261">
        <v>60000000</v>
      </c>
      <c r="Y95" s="261"/>
      <c r="Z95" s="261"/>
      <c r="AA95" s="261">
        <f t="shared" si="13"/>
        <v>60000000</v>
      </c>
      <c r="AB95" s="261">
        <v>60000000</v>
      </c>
      <c r="AC95" s="261"/>
      <c r="AD95" s="261"/>
      <c r="AE95" s="261">
        <f t="shared" si="14"/>
        <v>60000000</v>
      </c>
      <c r="AF95" s="261">
        <f t="shared" si="10"/>
        <v>220000000</v>
      </c>
      <c r="AG95" s="193"/>
      <c r="AH95" s="193"/>
      <c r="AI95" s="118"/>
      <c r="AJ95" s="3"/>
      <c r="AK95" s="3"/>
      <c r="AL95" s="3"/>
    </row>
    <row r="96" spans="1:38" s="1" customFormat="1" ht="22.5" hidden="1" x14ac:dyDescent="0.2">
      <c r="A96" s="248"/>
      <c r="B96" s="1810"/>
      <c r="C96" s="35" t="s">
        <v>128</v>
      </c>
      <c r="D96" s="21" t="s">
        <v>70</v>
      </c>
      <c r="E96" s="145"/>
      <c r="F96" s="145"/>
      <c r="G96" s="145"/>
      <c r="H96" s="145"/>
      <c r="I96" s="41" t="s">
        <v>489</v>
      </c>
      <c r="J96" s="284" t="s">
        <v>507</v>
      </c>
      <c r="K96" s="214">
        <v>9</v>
      </c>
      <c r="L96" s="214">
        <v>9</v>
      </c>
      <c r="M96" s="214">
        <v>9</v>
      </c>
      <c r="N96" s="214">
        <v>9</v>
      </c>
      <c r="O96" s="217">
        <f>+N96+M96+L96+K96</f>
        <v>36</v>
      </c>
      <c r="P96" s="183">
        <v>40000000</v>
      </c>
      <c r="Q96" s="261"/>
      <c r="R96" s="261"/>
      <c r="S96" s="261">
        <f t="shared" si="11"/>
        <v>40000000</v>
      </c>
      <c r="T96" s="261">
        <v>40000000</v>
      </c>
      <c r="U96" s="261"/>
      <c r="V96" s="261"/>
      <c r="W96" s="261">
        <f t="shared" si="12"/>
        <v>40000000</v>
      </c>
      <c r="X96" s="261">
        <v>40000000</v>
      </c>
      <c r="Y96" s="261"/>
      <c r="Z96" s="261"/>
      <c r="AA96" s="261">
        <f t="shared" si="13"/>
        <v>40000000</v>
      </c>
      <c r="AB96" s="261">
        <v>40000000</v>
      </c>
      <c r="AC96" s="261"/>
      <c r="AD96" s="261"/>
      <c r="AE96" s="261">
        <f t="shared" si="14"/>
        <v>40000000</v>
      </c>
      <c r="AF96" s="261">
        <f t="shared" si="10"/>
        <v>160000000</v>
      </c>
      <c r="AG96" s="193"/>
      <c r="AH96" s="193"/>
      <c r="AI96" s="118"/>
      <c r="AJ96" s="3"/>
      <c r="AK96" s="3"/>
      <c r="AL96" s="3"/>
    </row>
    <row r="97" spans="1:38" s="1" customFormat="1" ht="22.5" hidden="1" x14ac:dyDescent="0.2">
      <c r="A97" s="248"/>
      <c r="B97" s="1811"/>
      <c r="C97" s="35" t="s">
        <v>130</v>
      </c>
      <c r="D97" s="21" t="s">
        <v>129</v>
      </c>
      <c r="E97" s="145"/>
      <c r="F97" s="145"/>
      <c r="G97" s="145"/>
      <c r="H97" s="145"/>
      <c r="I97" s="41" t="s">
        <v>135</v>
      </c>
      <c r="J97" s="167" t="s">
        <v>139</v>
      </c>
      <c r="K97" s="214">
        <v>28</v>
      </c>
      <c r="L97" s="214">
        <v>20</v>
      </c>
      <c r="M97" s="214">
        <v>20</v>
      </c>
      <c r="N97" s="214">
        <v>20</v>
      </c>
      <c r="O97" s="217">
        <f>+N97+M97+L97+K97</f>
        <v>88</v>
      </c>
      <c r="P97" s="183">
        <v>70000000</v>
      </c>
      <c r="Q97" s="261"/>
      <c r="R97" s="261"/>
      <c r="S97" s="261">
        <f t="shared" si="11"/>
        <v>70000000</v>
      </c>
      <c r="T97" s="261">
        <v>50000000</v>
      </c>
      <c r="U97" s="261"/>
      <c r="V97" s="261"/>
      <c r="W97" s="261">
        <f t="shared" si="12"/>
        <v>50000000</v>
      </c>
      <c r="X97" s="261">
        <v>50000000</v>
      </c>
      <c r="Y97" s="261"/>
      <c r="Z97" s="261"/>
      <c r="AA97" s="261">
        <f t="shared" si="13"/>
        <v>50000000</v>
      </c>
      <c r="AB97" s="261">
        <v>50000000</v>
      </c>
      <c r="AC97" s="261"/>
      <c r="AD97" s="261"/>
      <c r="AE97" s="261">
        <f t="shared" si="14"/>
        <v>50000000</v>
      </c>
      <c r="AF97" s="261">
        <f t="shared" si="10"/>
        <v>220000000</v>
      </c>
      <c r="AG97" s="193"/>
      <c r="AH97" s="193"/>
      <c r="AI97" s="118"/>
      <c r="AJ97" s="3"/>
      <c r="AK97" s="3"/>
      <c r="AL97" s="3"/>
    </row>
    <row r="98" spans="1:38" s="1" customFormat="1" ht="45" x14ac:dyDescent="0.2">
      <c r="A98" s="289" t="s">
        <v>617</v>
      </c>
      <c r="B98" s="289" t="s">
        <v>617</v>
      </c>
      <c r="C98" s="321"/>
      <c r="D98" s="321"/>
      <c r="E98" s="316"/>
      <c r="F98" s="316"/>
      <c r="G98" s="316"/>
      <c r="H98" s="316"/>
      <c r="I98" s="315"/>
      <c r="J98" s="322"/>
      <c r="K98" s="323"/>
      <c r="L98" s="323"/>
      <c r="M98" s="323"/>
      <c r="N98" s="323"/>
      <c r="O98" s="317"/>
      <c r="P98" s="318">
        <f>+P99+P106</f>
        <v>260000000</v>
      </c>
      <c r="Q98" s="318">
        <f>+Q99+Q106</f>
        <v>0</v>
      </c>
      <c r="R98" s="318">
        <f>+R99+R106</f>
        <v>0</v>
      </c>
      <c r="S98" s="348">
        <f t="shared" si="11"/>
        <v>260000000</v>
      </c>
      <c r="T98" s="348">
        <f>+T99+T106</f>
        <v>430600000</v>
      </c>
      <c r="U98" s="348">
        <f>+U99+U106</f>
        <v>0</v>
      </c>
      <c r="V98" s="348">
        <f>+V99+V106</f>
        <v>0</v>
      </c>
      <c r="W98" s="348">
        <f t="shared" si="12"/>
        <v>430600000</v>
      </c>
      <c r="X98" s="348">
        <f>+X99+X106</f>
        <v>491848000</v>
      </c>
      <c r="Y98" s="348">
        <f>+Y99+Y106</f>
        <v>0</v>
      </c>
      <c r="Z98" s="348">
        <f>+Z99+Z106</f>
        <v>0</v>
      </c>
      <c r="AA98" s="348">
        <f t="shared" si="13"/>
        <v>491848000</v>
      </c>
      <c r="AB98" s="348">
        <f>+AB99+AB106</f>
        <v>458344960</v>
      </c>
      <c r="AC98" s="348">
        <f>+AC99+AC106</f>
        <v>0</v>
      </c>
      <c r="AD98" s="348">
        <f>+AD99+AD106</f>
        <v>200000000</v>
      </c>
      <c r="AE98" s="348">
        <f t="shared" si="14"/>
        <v>658344960</v>
      </c>
      <c r="AF98" s="369">
        <f t="shared" si="10"/>
        <v>1840792960</v>
      </c>
      <c r="AG98" s="334">
        <f>+AF98/AF184*100</f>
        <v>3.0715115669211581</v>
      </c>
      <c r="AH98" s="198"/>
      <c r="AI98" s="238"/>
      <c r="AJ98" s="7"/>
      <c r="AK98" s="7"/>
      <c r="AL98" s="7"/>
    </row>
    <row r="99" spans="1:38" s="1" customFormat="1" ht="45" x14ac:dyDescent="0.2">
      <c r="A99" s="4"/>
      <c r="B99" s="128" t="s">
        <v>612</v>
      </c>
      <c r="C99" s="128"/>
      <c r="D99" s="19"/>
      <c r="E99" s="139"/>
      <c r="F99" s="139"/>
      <c r="G99" s="139"/>
      <c r="H99" s="139"/>
      <c r="I99" s="139"/>
      <c r="J99" s="172"/>
      <c r="K99" s="213"/>
      <c r="L99" s="213"/>
      <c r="M99" s="213"/>
      <c r="N99" s="213"/>
      <c r="O99" s="213"/>
      <c r="P99" s="155">
        <f>SUM(P100:P105)</f>
        <v>180000000</v>
      </c>
      <c r="Q99" s="155">
        <f>SUM(Q100:Q105)</f>
        <v>0</v>
      </c>
      <c r="R99" s="155">
        <f>SUM(R100:R105)</f>
        <v>0</v>
      </c>
      <c r="S99" s="349">
        <f t="shared" si="11"/>
        <v>180000000</v>
      </c>
      <c r="T99" s="349">
        <f>SUM(T100:T105)</f>
        <v>302400000</v>
      </c>
      <c r="U99" s="349">
        <f>SUM(U100:U105)</f>
        <v>0</v>
      </c>
      <c r="V99" s="349">
        <f>SUM(V100:V105)</f>
        <v>0</v>
      </c>
      <c r="W99" s="349">
        <f t="shared" si="12"/>
        <v>302400000</v>
      </c>
      <c r="X99" s="349">
        <f>SUM(X100:X105)</f>
        <v>359848000</v>
      </c>
      <c r="Y99" s="349">
        <f>SUM(Y100:Y105)</f>
        <v>0</v>
      </c>
      <c r="Z99" s="349">
        <f>SUM(Z100:Z105)</f>
        <v>0</v>
      </c>
      <c r="AA99" s="349">
        <f t="shared" si="13"/>
        <v>359848000</v>
      </c>
      <c r="AB99" s="349">
        <f>SUM(AB100:AB105)</f>
        <v>322344960</v>
      </c>
      <c r="AC99" s="349">
        <f>SUM(AC100:AC105)</f>
        <v>0</v>
      </c>
      <c r="AD99" s="349">
        <f>SUM(AD100:AD105)</f>
        <v>200000000</v>
      </c>
      <c r="AE99" s="349">
        <f t="shared" si="14"/>
        <v>522344960</v>
      </c>
      <c r="AF99" s="349">
        <f t="shared" si="10"/>
        <v>1364592960</v>
      </c>
      <c r="AG99" s="198"/>
      <c r="AH99" s="193">
        <f>SUM(AF100:AF105)</f>
        <v>1364592960</v>
      </c>
      <c r="AI99" s="238">
        <v>124592384</v>
      </c>
      <c r="AJ99" s="7"/>
      <c r="AK99" s="7"/>
      <c r="AL99" s="3"/>
    </row>
    <row r="100" spans="1:38" s="1" customFormat="1" ht="45" hidden="1" x14ac:dyDescent="0.2">
      <c r="A100" s="4"/>
      <c r="B100" s="1812"/>
      <c r="C100" s="1815" t="s">
        <v>594</v>
      </c>
      <c r="D100" s="1689" t="s">
        <v>588</v>
      </c>
      <c r="E100" s="145"/>
      <c r="F100" s="145"/>
      <c r="G100" s="145"/>
      <c r="H100" s="145"/>
      <c r="I100" s="41" t="s">
        <v>589</v>
      </c>
      <c r="J100" s="167" t="s">
        <v>147</v>
      </c>
      <c r="K100" s="214">
        <v>1</v>
      </c>
      <c r="L100" s="214">
        <v>1</v>
      </c>
      <c r="M100" s="214">
        <v>1</v>
      </c>
      <c r="N100" s="214">
        <v>1</v>
      </c>
      <c r="O100" s="217">
        <v>1</v>
      </c>
      <c r="P100" s="1422">
        <v>60000000</v>
      </c>
      <c r="Q100" s="1422"/>
      <c r="R100" s="1422"/>
      <c r="S100" s="1791">
        <f t="shared" si="11"/>
        <v>60000000</v>
      </c>
      <c r="T100" s="1791">
        <f>+ROUND(P100*0.02,0)+P100</f>
        <v>61200000</v>
      </c>
      <c r="U100" s="1791"/>
      <c r="V100" s="1791"/>
      <c r="W100" s="1791">
        <f t="shared" si="12"/>
        <v>61200000</v>
      </c>
      <c r="X100" s="1791">
        <f>+ROUND(T100*0.02,0)+T100</f>
        <v>62424000</v>
      </c>
      <c r="Y100" s="1791"/>
      <c r="Z100" s="1791"/>
      <c r="AA100" s="1791">
        <f t="shared" si="13"/>
        <v>62424000</v>
      </c>
      <c r="AB100" s="1791">
        <f>+ROUND(X100*0.02,0)+X100</f>
        <v>63672480</v>
      </c>
      <c r="AC100" s="1791"/>
      <c r="AD100" s="1791"/>
      <c r="AE100" s="1791">
        <f t="shared" si="14"/>
        <v>63672480</v>
      </c>
      <c r="AF100" s="1791">
        <f t="shared" si="10"/>
        <v>247296480</v>
      </c>
      <c r="AG100" s="332"/>
      <c r="AH100" s="193"/>
      <c r="AI100" s="118"/>
      <c r="AJ100" s="3"/>
      <c r="AK100" s="3"/>
      <c r="AL100" s="3"/>
    </row>
    <row r="101" spans="1:38" s="1" customFormat="1" ht="33.75" hidden="1" x14ac:dyDescent="0.2">
      <c r="A101" s="4"/>
      <c r="B101" s="1813"/>
      <c r="C101" s="1816"/>
      <c r="D101" s="1779"/>
      <c r="E101" s="145"/>
      <c r="F101" s="145"/>
      <c r="G101" s="145"/>
      <c r="H101" s="145"/>
      <c r="I101" s="132" t="s">
        <v>541</v>
      </c>
      <c r="J101" s="167" t="s">
        <v>137</v>
      </c>
      <c r="K101" s="214">
        <v>20</v>
      </c>
      <c r="L101" s="214">
        <v>20</v>
      </c>
      <c r="M101" s="214">
        <v>20</v>
      </c>
      <c r="N101" s="214">
        <v>20</v>
      </c>
      <c r="O101" s="217">
        <f>SUM(K101:N101)</f>
        <v>80</v>
      </c>
      <c r="P101" s="1423"/>
      <c r="Q101" s="1423"/>
      <c r="R101" s="1423"/>
      <c r="S101" s="1793">
        <f t="shared" si="11"/>
        <v>0</v>
      </c>
      <c r="T101" s="1793"/>
      <c r="U101" s="1793"/>
      <c r="V101" s="1793"/>
      <c r="W101" s="1793">
        <f t="shared" si="12"/>
        <v>0</v>
      </c>
      <c r="X101" s="1793">
        <v>55000000</v>
      </c>
      <c r="Y101" s="1793"/>
      <c r="Z101" s="1793"/>
      <c r="AA101" s="1793">
        <f t="shared" si="13"/>
        <v>55000000</v>
      </c>
      <c r="AB101" s="1793">
        <v>55000000</v>
      </c>
      <c r="AC101" s="1793"/>
      <c r="AD101" s="1793"/>
      <c r="AE101" s="1793">
        <f t="shared" si="14"/>
        <v>55000000</v>
      </c>
      <c r="AF101" s="1793">
        <f t="shared" si="10"/>
        <v>110000000</v>
      </c>
      <c r="AG101" s="332"/>
      <c r="AH101" s="193"/>
      <c r="AI101" s="118"/>
      <c r="AJ101" s="3"/>
      <c r="AK101" s="3"/>
      <c r="AL101" s="3"/>
    </row>
    <row r="102" spans="1:38" s="1" customFormat="1" ht="33.75" hidden="1" x14ac:dyDescent="0.2">
      <c r="A102" s="4"/>
      <c r="B102" s="1813"/>
      <c r="C102" s="1816"/>
      <c r="D102" s="41" t="s">
        <v>590</v>
      </c>
      <c r="E102" s="145"/>
      <c r="F102" s="145"/>
      <c r="G102" s="145"/>
      <c r="H102" s="145"/>
      <c r="I102" s="41" t="s">
        <v>591</v>
      </c>
      <c r="J102" s="167" t="s">
        <v>137</v>
      </c>
      <c r="K102" s="214">
        <v>1</v>
      </c>
      <c r="L102" s="214">
        <v>1</v>
      </c>
      <c r="M102" s="214">
        <v>1</v>
      </c>
      <c r="N102" s="214">
        <v>1</v>
      </c>
      <c r="O102" s="217">
        <f>SUM(K102:N102)</f>
        <v>4</v>
      </c>
      <c r="P102" s="251">
        <v>60000000</v>
      </c>
      <c r="Q102" s="251"/>
      <c r="R102" s="251"/>
      <c r="S102" s="357">
        <f t="shared" si="11"/>
        <v>60000000</v>
      </c>
      <c r="T102" s="357">
        <f>+ROUND(P102*0.02,0)+P102</f>
        <v>61200000</v>
      </c>
      <c r="U102" s="357"/>
      <c r="V102" s="357"/>
      <c r="W102" s="357">
        <f t="shared" si="12"/>
        <v>61200000</v>
      </c>
      <c r="X102" s="357">
        <f>+ROUND(T102*0.02,0)+T102</f>
        <v>62424000</v>
      </c>
      <c r="Y102" s="357"/>
      <c r="Z102" s="357"/>
      <c r="AA102" s="357">
        <f t="shared" si="13"/>
        <v>62424000</v>
      </c>
      <c r="AB102" s="357">
        <f>+ROUND(X102*0.02,0)+X102</f>
        <v>63672480</v>
      </c>
      <c r="AC102" s="357"/>
      <c r="AD102" s="357"/>
      <c r="AE102" s="357">
        <f t="shared" si="14"/>
        <v>63672480</v>
      </c>
      <c r="AF102" s="357">
        <f t="shared" si="10"/>
        <v>247296480</v>
      </c>
      <c r="AG102" s="332"/>
      <c r="AH102" s="193"/>
      <c r="AI102" s="118"/>
      <c r="AJ102" s="3"/>
      <c r="AK102" s="3"/>
      <c r="AL102" s="3"/>
    </row>
    <row r="103" spans="1:38" s="1" customFormat="1" ht="33.75" hidden="1" x14ac:dyDescent="0.2">
      <c r="A103" s="4"/>
      <c r="B103" s="1813"/>
      <c r="C103" s="1816"/>
      <c r="D103" s="41" t="s">
        <v>592</v>
      </c>
      <c r="E103" s="145"/>
      <c r="F103" s="145"/>
      <c r="G103" s="145"/>
      <c r="H103" s="145"/>
      <c r="I103" s="41" t="s">
        <v>540</v>
      </c>
      <c r="J103" s="167" t="s">
        <v>147</v>
      </c>
      <c r="K103" s="214">
        <v>40</v>
      </c>
      <c r="L103" s="214">
        <v>25</v>
      </c>
      <c r="M103" s="214">
        <v>25</v>
      </c>
      <c r="N103" s="214">
        <v>10</v>
      </c>
      <c r="O103" s="217">
        <f>SUM(K103:N103)</f>
        <v>100</v>
      </c>
      <c r="P103" s="251">
        <v>60000000</v>
      </c>
      <c r="Q103" s="251"/>
      <c r="R103" s="251"/>
      <c r="S103" s="357">
        <f t="shared" si="11"/>
        <v>60000000</v>
      </c>
      <c r="T103" s="357">
        <v>80000000</v>
      </c>
      <c r="U103" s="357"/>
      <c r="V103" s="357"/>
      <c r="W103" s="357">
        <f t="shared" si="12"/>
        <v>80000000</v>
      </c>
      <c r="X103" s="357">
        <v>80000000</v>
      </c>
      <c r="Y103" s="357"/>
      <c r="Z103" s="357"/>
      <c r="AA103" s="357">
        <f t="shared" si="13"/>
        <v>80000000</v>
      </c>
      <c r="AB103" s="357">
        <v>90000000</v>
      </c>
      <c r="AC103" s="357"/>
      <c r="AD103" s="357"/>
      <c r="AE103" s="357">
        <f t="shared" si="14"/>
        <v>90000000</v>
      </c>
      <c r="AF103" s="357">
        <f t="shared" si="10"/>
        <v>310000000</v>
      </c>
      <c r="AG103" s="332"/>
      <c r="AH103" s="193"/>
      <c r="AI103" s="118"/>
      <c r="AJ103" s="3"/>
      <c r="AK103" s="3"/>
      <c r="AL103" s="3"/>
    </row>
    <row r="104" spans="1:38" s="1" customFormat="1" ht="22.5" hidden="1" x14ac:dyDescent="0.2">
      <c r="A104" s="4"/>
      <c r="B104" s="1813"/>
      <c r="C104" s="1816"/>
      <c r="D104" s="9" t="s">
        <v>593</v>
      </c>
      <c r="E104" s="214">
        <v>1</v>
      </c>
      <c r="F104" s="214">
        <v>0</v>
      </c>
      <c r="G104" s="214">
        <v>0</v>
      </c>
      <c r="H104" s="217">
        <v>1</v>
      </c>
      <c r="I104" s="41" t="s">
        <v>542</v>
      </c>
      <c r="J104" s="41" t="s">
        <v>543</v>
      </c>
      <c r="K104" s="261"/>
      <c r="L104" s="261">
        <v>50</v>
      </c>
      <c r="M104" s="261">
        <v>50</v>
      </c>
      <c r="N104" s="190"/>
      <c r="O104" s="217">
        <f>SUM(K104:N104)</f>
        <v>100</v>
      </c>
      <c r="P104" s="183"/>
      <c r="Q104" s="261"/>
      <c r="R104" s="261"/>
      <c r="S104" s="350">
        <f t="shared" si="11"/>
        <v>0</v>
      </c>
      <c r="T104" s="350">
        <v>100000000</v>
      </c>
      <c r="U104" s="350"/>
      <c r="V104" s="350"/>
      <c r="W104" s="350">
        <f t="shared" si="12"/>
        <v>100000000</v>
      </c>
      <c r="X104" s="350">
        <v>100000000</v>
      </c>
      <c r="Y104" s="350"/>
      <c r="Z104" s="350"/>
      <c r="AA104" s="350">
        <f t="shared" si="13"/>
        <v>100000000</v>
      </c>
      <c r="AB104" s="350"/>
      <c r="AC104" s="350"/>
      <c r="AD104" s="350"/>
      <c r="AE104" s="350">
        <f t="shared" si="14"/>
        <v>0</v>
      </c>
      <c r="AF104" s="350">
        <f t="shared" si="10"/>
        <v>200000000</v>
      </c>
      <c r="AG104" s="193"/>
      <c r="AH104" s="193"/>
      <c r="AI104" s="118"/>
      <c r="AJ104" s="3"/>
      <c r="AK104" s="3"/>
      <c r="AL104" s="3"/>
    </row>
    <row r="105" spans="1:38" s="1" customFormat="1" ht="22.5" hidden="1" x14ac:dyDescent="0.2">
      <c r="A105" s="4"/>
      <c r="B105" s="1814"/>
      <c r="C105" s="1817"/>
      <c r="D105" s="9" t="s">
        <v>544</v>
      </c>
      <c r="E105" s="214"/>
      <c r="F105" s="214"/>
      <c r="G105" s="214"/>
      <c r="H105" s="217"/>
      <c r="I105" s="41" t="s">
        <v>545</v>
      </c>
      <c r="J105" s="41" t="s">
        <v>147</v>
      </c>
      <c r="K105" s="261"/>
      <c r="L105" s="261"/>
      <c r="M105" s="261"/>
      <c r="N105" s="261">
        <v>100</v>
      </c>
      <c r="O105" s="217">
        <v>100</v>
      </c>
      <c r="P105" s="183"/>
      <c r="Q105" s="261"/>
      <c r="R105" s="261"/>
      <c r="S105" s="350">
        <f t="shared" si="11"/>
        <v>0</v>
      </c>
      <c r="T105" s="350"/>
      <c r="U105" s="350"/>
      <c r="V105" s="350"/>
      <c r="W105" s="350">
        <f t="shared" si="12"/>
        <v>0</v>
      </c>
      <c r="X105" s="350"/>
      <c r="Y105" s="350"/>
      <c r="Z105" s="350"/>
      <c r="AA105" s="350">
        <f t="shared" si="13"/>
        <v>0</v>
      </c>
      <c r="AB105" s="351">
        <v>50000000</v>
      </c>
      <c r="AC105" s="350"/>
      <c r="AD105" s="350">
        <v>200000000</v>
      </c>
      <c r="AE105" s="350">
        <f t="shared" si="14"/>
        <v>250000000</v>
      </c>
      <c r="AF105" s="350">
        <f t="shared" si="10"/>
        <v>250000000</v>
      </c>
      <c r="AG105" s="193"/>
      <c r="AH105" s="193"/>
      <c r="AI105" s="118"/>
      <c r="AJ105" s="3"/>
      <c r="AK105" s="3"/>
      <c r="AL105" s="3"/>
    </row>
    <row r="106" spans="1:38" s="1" customFormat="1" ht="22.5" x14ac:dyDescent="0.2">
      <c r="A106" s="4"/>
      <c r="B106" s="128" t="s">
        <v>573</v>
      </c>
      <c r="C106" s="128"/>
      <c r="D106" s="19"/>
      <c r="E106" s="139"/>
      <c r="F106" s="139"/>
      <c r="G106" s="139"/>
      <c r="H106" s="139"/>
      <c r="I106" s="139"/>
      <c r="J106" s="172"/>
      <c r="K106" s="213"/>
      <c r="L106" s="213"/>
      <c r="M106" s="213"/>
      <c r="N106" s="213"/>
      <c r="O106" s="213"/>
      <c r="P106" s="155">
        <f>SUM(P107:P110)</f>
        <v>80000000</v>
      </c>
      <c r="Q106" s="155">
        <f>SUM(Q107:Q110)</f>
        <v>0</v>
      </c>
      <c r="R106" s="155">
        <f>SUM(R107:R110)</f>
        <v>0</v>
      </c>
      <c r="S106" s="349">
        <f t="shared" si="11"/>
        <v>80000000</v>
      </c>
      <c r="T106" s="349">
        <f>SUM(T107:T110)</f>
        <v>128200000</v>
      </c>
      <c r="U106" s="349">
        <f>SUM(U107:U110)</f>
        <v>0</v>
      </c>
      <c r="V106" s="349">
        <f>SUM(V107:V110)</f>
        <v>0</v>
      </c>
      <c r="W106" s="349">
        <f t="shared" si="12"/>
        <v>128200000</v>
      </c>
      <c r="X106" s="349">
        <f>SUM(X107:X110)</f>
        <v>132000000</v>
      </c>
      <c r="Y106" s="349">
        <f>SUM(Y107:Y110)</f>
        <v>0</v>
      </c>
      <c r="Z106" s="349">
        <f>SUM(Z107:Z110)</f>
        <v>0</v>
      </c>
      <c r="AA106" s="349">
        <f t="shared" si="13"/>
        <v>132000000</v>
      </c>
      <c r="AB106" s="349">
        <f>SUM(AB107:AB110)</f>
        <v>136000000</v>
      </c>
      <c r="AC106" s="349">
        <f>SUM(AC107:AC110)</f>
        <v>0</v>
      </c>
      <c r="AD106" s="349">
        <f>SUM(AD107:AD110)</f>
        <v>0</v>
      </c>
      <c r="AE106" s="349">
        <f t="shared" si="14"/>
        <v>136000000</v>
      </c>
      <c r="AF106" s="349">
        <f t="shared" si="10"/>
        <v>476200000</v>
      </c>
      <c r="AG106" s="198"/>
      <c r="AH106" s="193">
        <f>SUM(AF107:AF110)</f>
        <v>476200000</v>
      </c>
      <c r="AI106" s="238">
        <v>30806059</v>
      </c>
      <c r="AJ106" s="7"/>
      <c r="AK106" s="7"/>
      <c r="AL106" s="3"/>
    </row>
    <row r="107" spans="1:38" s="1" customFormat="1" ht="22.5" hidden="1" customHeight="1" x14ac:dyDescent="0.2">
      <c r="A107" s="4"/>
      <c r="B107" s="1783"/>
      <c r="C107" s="1778" t="s">
        <v>539</v>
      </c>
      <c r="D107" s="1689" t="s">
        <v>466</v>
      </c>
      <c r="E107" s="145"/>
      <c r="F107" s="145"/>
      <c r="G107" s="145"/>
      <c r="H107" s="145"/>
      <c r="I107" s="41" t="s">
        <v>537</v>
      </c>
      <c r="J107" s="284" t="s">
        <v>137</v>
      </c>
      <c r="K107" s="210">
        <v>28</v>
      </c>
      <c r="L107" s="210">
        <v>28</v>
      </c>
      <c r="M107" s="210">
        <v>28</v>
      </c>
      <c r="N107" s="210">
        <v>28</v>
      </c>
      <c r="O107" s="217">
        <v>28</v>
      </c>
      <c r="P107" s="1422">
        <v>80000000</v>
      </c>
      <c r="Q107" s="1780"/>
      <c r="R107" s="1780"/>
      <c r="S107" s="1767">
        <f t="shared" si="11"/>
        <v>80000000</v>
      </c>
      <c r="T107" s="1767">
        <v>128200000</v>
      </c>
      <c r="U107" s="1767"/>
      <c r="V107" s="1767"/>
      <c r="W107" s="1767">
        <f t="shared" si="12"/>
        <v>128200000</v>
      </c>
      <c r="X107" s="1767">
        <v>132000000</v>
      </c>
      <c r="Y107" s="1767"/>
      <c r="Z107" s="1767"/>
      <c r="AA107" s="1767">
        <f t="shared" si="13"/>
        <v>132000000</v>
      </c>
      <c r="AB107" s="1767">
        <v>136000000</v>
      </c>
      <c r="AC107" s="1767"/>
      <c r="AD107" s="1767"/>
      <c r="AE107" s="1767">
        <f t="shared" si="14"/>
        <v>136000000</v>
      </c>
      <c r="AF107" s="1767">
        <f t="shared" si="10"/>
        <v>476200000</v>
      </c>
      <c r="AG107" s="332"/>
      <c r="AH107" s="193"/>
      <c r="AI107" s="118"/>
      <c r="AJ107" s="3"/>
      <c r="AK107" s="3"/>
      <c r="AL107" s="3"/>
    </row>
    <row r="108" spans="1:38" s="1" customFormat="1" ht="22.5" hidden="1" x14ac:dyDescent="0.2">
      <c r="A108" s="4"/>
      <c r="B108" s="1783"/>
      <c r="C108" s="1778"/>
      <c r="D108" s="1779"/>
      <c r="E108" s="145"/>
      <c r="F108" s="145"/>
      <c r="G108" s="145"/>
      <c r="H108" s="145"/>
      <c r="I108" s="41" t="s">
        <v>380</v>
      </c>
      <c r="J108" s="284" t="s">
        <v>137</v>
      </c>
      <c r="K108" s="210">
        <v>144</v>
      </c>
      <c r="L108" s="210">
        <v>144</v>
      </c>
      <c r="M108" s="210">
        <v>144</v>
      </c>
      <c r="N108" s="210">
        <v>144</v>
      </c>
      <c r="O108" s="217">
        <f>SUM(K108:N108)</f>
        <v>576</v>
      </c>
      <c r="P108" s="1476"/>
      <c r="Q108" s="1781"/>
      <c r="R108" s="1781"/>
      <c r="S108" s="1768"/>
      <c r="T108" s="1768"/>
      <c r="U108" s="1768"/>
      <c r="V108" s="1768"/>
      <c r="W108" s="1768"/>
      <c r="X108" s="1768"/>
      <c r="Y108" s="1768"/>
      <c r="Z108" s="1768"/>
      <c r="AA108" s="1768"/>
      <c r="AB108" s="1768"/>
      <c r="AC108" s="1768"/>
      <c r="AD108" s="1768"/>
      <c r="AE108" s="1768"/>
      <c r="AF108" s="1768">
        <f t="shared" si="10"/>
        <v>0</v>
      </c>
      <c r="AG108" s="332"/>
      <c r="AH108" s="193"/>
      <c r="AI108" s="118"/>
      <c r="AJ108" s="3"/>
      <c r="AK108" s="3"/>
      <c r="AL108" s="3"/>
    </row>
    <row r="109" spans="1:38" s="1" customFormat="1" ht="33.75" hidden="1" x14ac:dyDescent="0.2">
      <c r="A109" s="4"/>
      <c r="B109" s="1783"/>
      <c r="C109" s="1778"/>
      <c r="D109" s="41" t="s">
        <v>377</v>
      </c>
      <c r="E109" s="145"/>
      <c r="F109" s="145"/>
      <c r="G109" s="145"/>
      <c r="H109" s="145"/>
      <c r="I109" s="41" t="s">
        <v>378</v>
      </c>
      <c r="J109" s="284" t="s">
        <v>137</v>
      </c>
      <c r="K109" s="210">
        <v>12</v>
      </c>
      <c r="L109" s="210">
        <v>12</v>
      </c>
      <c r="M109" s="210">
        <v>12</v>
      </c>
      <c r="N109" s="210">
        <v>12</v>
      </c>
      <c r="O109" s="217">
        <v>12</v>
      </c>
      <c r="P109" s="1476"/>
      <c r="Q109" s="1781"/>
      <c r="R109" s="1781"/>
      <c r="S109" s="1768">
        <f>SUM(P109:R109)</f>
        <v>0</v>
      </c>
      <c r="T109" s="1768"/>
      <c r="U109" s="1768"/>
      <c r="V109" s="1768"/>
      <c r="W109" s="1768">
        <f>SUM(T109:V109)</f>
        <v>0</v>
      </c>
      <c r="X109" s="1768"/>
      <c r="Y109" s="1768"/>
      <c r="Z109" s="1768"/>
      <c r="AA109" s="1768">
        <f>SUM(X109:Z109)</f>
        <v>0</v>
      </c>
      <c r="AB109" s="1768"/>
      <c r="AC109" s="1768"/>
      <c r="AD109" s="1768"/>
      <c r="AE109" s="1768">
        <f>SUM(AB109:AD109)</f>
        <v>0</v>
      </c>
      <c r="AF109" s="1768">
        <f t="shared" si="10"/>
        <v>0</v>
      </c>
      <c r="AG109" s="332"/>
      <c r="AH109" s="193"/>
      <c r="AI109" s="118"/>
      <c r="AJ109" s="3"/>
      <c r="AK109" s="3"/>
      <c r="AL109" s="3"/>
    </row>
    <row r="110" spans="1:38" s="1" customFormat="1" ht="22.5" hidden="1" x14ac:dyDescent="0.2">
      <c r="A110" s="4"/>
      <c r="B110" s="1564"/>
      <c r="C110" s="1779"/>
      <c r="D110" s="41" t="s">
        <v>535</v>
      </c>
      <c r="E110" s="145"/>
      <c r="F110" s="145"/>
      <c r="G110" s="145"/>
      <c r="H110" s="145"/>
      <c r="I110" s="41" t="s">
        <v>536</v>
      </c>
      <c r="J110" s="284" t="s">
        <v>137</v>
      </c>
      <c r="K110" s="210">
        <v>1</v>
      </c>
      <c r="L110" s="210">
        <v>1</v>
      </c>
      <c r="M110" s="210">
        <v>1</v>
      </c>
      <c r="N110" s="210">
        <v>1</v>
      </c>
      <c r="O110" s="217">
        <v>1</v>
      </c>
      <c r="P110" s="1423"/>
      <c r="Q110" s="1782"/>
      <c r="R110" s="1782"/>
      <c r="S110" s="1769">
        <f>SUM(P110:R110)</f>
        <v>0</v>
      </c>
      <c r="T110" s="1769"/>
      <c r="U110" s="1769"/>
      <c r="V110" s="1769"/>
      <c r="W110" s="1769">
        <f>SUM(T110:V110)</f>
        <v>0</v>
      </c>
      <c r="X110" s="1769"/>
      <c r="Y110" s="1769"/>
      <c r="Z110" s="1769"/>
      <c r="AA110" s="1769">
        <f>SUM(X110:Z110)</f>
        <v>0</v>
      </c>
      <c r="AB110" s="1769"/>
      <c r="AC110" s="1769"/>
      <c r="AD110" s="1769"/>
      <c r="AE110" s="1769">
        <f>SUM(AB110:AD110)</f>
        <v>0</v>
      </c>
      <c r="AF110" s="1769">
        <f t="shared" si="10"/>
        <v>0</v>
      </c>
      <c r="AG110" s="332"/>
      <c r="AH110" s="193"/>
      <c r="AI110" s="118"/>
      <c r="AJ110" s="3"/>
      <c r="AK110" s="3"/>
      <c r="AL110" s="3"/>
    </row>
    <row r="111" spans="1:38" s="1" customFormat="1" ht="45" x14ac:dyDescent="0.2">
      <c r="A111" s="289" t="s">
        <v>611</v>
      </c>
      <c r="B111" s="289" t="s">
        <v>611</v>
      </c>
      <c r="C111" s="324"/>
      <c r="D111" s="315"/>
      <c r="E111" s="316"/>
      <c r="F111" s="316"/>
      <c r="G111" s="316"/>
      <c r="H111" s="316"/>
      <c r="I111" s="315"/>
      <c r="J111" s="311"/>
      <c r="K111" s="319"/>
      <c r="L111" s="319"/>
      <c r="M111" s="319"/>
      <c r="N111" s="319"/>
      <c r="O111" s="317"/>
      <c r="P111" s="325">
        <f t="shared" ref="P111:AE111" si="15">+P112+P119+P121+P133</f>
        <v>2212945608</v>
      </c>
      <c r="Q111" s="325">
        <f t="shared" si="15"/>
        <v>0</v>
      </c>
      <c r="R111" s="325">
        <f t="shared" si="15"/>
        <v>0</v>
      </c>
      <c r="S111" s="370">
        <f t="shared" si="15"/>
        <v>2212945608</v>
      </c>
      <c r="T111" s="370">
        <f t="shared" si="15"/>
        <v>2313619000</v>
      </c>
      <c r="U111" s="370">
        <f t="shared" si="15"/>
        <v>0</v>
      </c>
      <c r="V111" s="370">
        <f t="shared" si="15"/>
        <v>0</v>
      </c>
      <c r="W111" s="370">
        <f t="shared" si="15"/>
        <v>2313619000</v>
      </c>
      <c r="X111" s="370">
        <f t="shared" si="15"/>
        <v>2418652330</v>
      </c>
      <c r="Y111" s="370">
        <f t="shared" si="15"/>
        <v>0</v>
      </c>
      <c r="Z111" s="370">
        <f t="shared" si="15"/>
        <v>0</v>
      </c>
      <c r="AA111" s="370">
        <f t="shared" si="15"/>
        <v>2418652330</v>
      </c>
      <c r="AB111" s="370">
        <f t="shared" si="15"/>
        <v>2540480753</v>
      </c>
      <c r="AC111" s="370">
        <f t="shared" si="15"/>
        <v>0</v>
      </c>
      <c r="AD111" s="370">
        <f t="shared" si="15"/>
        <v>0</v>
      </c>
      <c r="AE111" s="370">
        <f t="shared" si="15"/>
        <v>2540480753</v>
      </c>
      <c r="AF111" s="369">
        <f t="shared" si="10"/>
        <v>9485697691</v>
      </c>
      <c r="AG111" s="334">
        <f>+AF111/AF184*100</f>
        <v>15.827651893140562</v>
      </c>
      <c r="AH111" s="198"/>
      <c r="AI111" s="238"/>
      <c r="AJ111" s="7"/>
      <c r="AK111" s="7"/>
      <c r="AL111" s="7"/>
    </row>
    <row r="112" spans="1:38" s="1" customFormat="1" ht="22.5" x14ac:dyDescent="0.2">
      <c r="A112" s="248"/>
      <c r="B112" s="19" t="s">
        <v>572</v>
      </c>
      <c r="C112" s="128"/>
      <c r="D112" s="19"/>
      <c r="E112" s="139"/>
      <c r="F112" s="139"/>
      <c r="G112" s="139"/>
      <c r="H112" s="139"/>
      <c r="I112" s="140"/>
      <c r="J112" s="171"/>
      <c r="K112" s="213"/>
      <c r="L112" s="213"/>
      <c r="M112" s="213"/>
      <c r="N112" s="213"/>
      <c r="O112" s="213"/>
      <c r="P112" s="155">
        <f>SUM(P113:P118)</f>
        <v>80000000</v>
      </c>
      <c r="Q112" s="155">
        <f>SUM(Q113:Q118)</f>
        <v>0</v>
      </c>
      <c r="R112" s="155">
        <f>SUM(R113:R118)</f>
        <v>0</v>
      </c>
      <c r="S112" s="349">
        <f t="shared" ref="S112:S134" si="16">SUM(P112:R112)</f>
        <v>80000000</v>
      </c>
      <c r="T112" s="349">
        <f>SUM(T113:T118)</f>
        <v>82000000</v>
      </c>
      <c r="U112" s="349">
        <f>SUM(U113:U118)</f>
        <v>0</v>
      </c>
      <c r="V112" s="349">
        <f>SUM(V113:V118)</f>
        <v>0</v>
      </c>
      <c r="W112" s="349">
        <f t="shared" ref="W112:W134" si="17">SUM(T112:V112)</f>
        <v>82000000</v>
      </c>
      <c r="X112" s="349">
        <f>SUM(X113:X118)</f>
        <v>86000000</v>
      </c>
      <c r="Y112" s="349">
        <f>SUM(Y113:Y118)</f>
        <v>0</v>
      </c>
      <c r="Z112" s="349">
        <f>SUM(Z113:Z118)</f>
        <v>0</v>
      </c>
      <c r="AA112" s="349">
        <f t="shared" ref="AA112:AA134" si="18">SUM(X112:Z112)</f>
        <v>86000000</v>
      </c>
      <c r="AB112" s="349">
        <f>SUM(AB113:AB118)</f>
        <v>90600000</v>
      </c>
      <c r="AC112" s="349">
        <f>SUM(AC113:AC118)</f>
        <v>0</v>
      </c>
      <c r="AD112" s="349">
        <f>SUM(AD113:AD118)</f>
        <v>0</v>
      </c>
      <c r="AE112" s="349">
        <f t="shared" ref="AE112:AE134" si="19">SUM(AB112:AD112)</f>
        <v>90600000</v>
      </c>
      <c r="AF112" s="349">
        <f t="shared" si="10"/>
        <v>338600000</v>
      </c>
      <c r="AG112" s="198"/>
      <c r="AH112" s="193">
        <f>+AF113</f>
        <v>338600000</v>
      </c>
      <c r="AI112" s="238">
        <v>49938738</v>
      </c>
      <c r="AJ112" s="7"/>
      <c r="AK112" s="7"/>
      <c r="AL112" s="3"/>
    </row>
    <row r="113" spans="1:38" s="1" customFormat="1" ht="22.5" hidden="1" x14ac:dyDescent="0.2">
      <c r="A113" s="248"/>
      <c r="B113" s="1783"/>
      <c r="C113" s="1446" t="s">
        <v>421</v>
      </c>
      <c r="D113" s="1689" t="s">
        <v>142</v>
      </c>
      <c r="E113" s="145"/>
      <c r="F113" s="145"/>
      <c r="G113" s="145"/>
      <c r="H113" s="145"/>
      <c r="I113" s="137" t="s">
        <v>143</v>
      </c>
      <c r="J113" s="46" t="s">
        <v>137</v>
      </c>
      <c r="K113" s="217">
        <v>350</v>
      </c>
      <c r="L113" s="217">
        <v>350</v>
      </c>
      <c r="M113" s="217">
        <v>350</v>
      </c>
      <c r="N113" s="217">
        <v>350</v>
      </c>
      <c r="O113" s="187">
        <f>SUM(K113:N113)</f>
        <v>1400</v>
      </c>
      <c r="P113" s="1808">
        <v>80000000</v>
      </c>
      <c r="Q113" s="1808"/>
      <c r="R113" s="1808"/>
      <c r="S113" s="1790">
        <f t="shared" si="16"/>
        <v>80000000</v>
      </c>
      <c r="T113" s="1790">
        <v>82000000</v>
      </c>
      <c r="U113" s="1790"/>
      <c r="V113" s="1790"/>
      <c r="W113" s="1790">
        <f t="shared" si="17"/>
        <v>82000000</v>
      </c>
      <c r="X113" s="1790">
        <v>86000000</v>
      </c>
      <c r="Y113" s="1790"/>
      <c r="Z113" s="1790"/>
      <c r="AA113" s="1790">
        <f t="shared" si="18"/>
        <v>86000000</v>
      </c>
      <c r="AB113" s="1790">
        <v>90600000</v>
      </c>
      <c r="AC113" s="1790"/>
      <c r="AD113" s="1790"/>
      <c r="AE113" s="1790">
        <f t="shared" si="19"/>
        <v>90600000</v>
      </c>
      <c r="AF113" s="1790">
        <f t="shared" si="10"/>
        <v>338600000</v>
      </c>
      <c r="AG113" s="193"/>
      <c r="AH113" s="193"/>
      <c r="AI113" s="118"/>
      <c r="AJ113" s="3"/>
      <c r="AK113" s="3"/>
      <c r="AL113" s="3"/>
    </row>
    <row r="114" spans="1:38" s="1" customFormat="1" ht="33.75" hidden="1" x14ac:dyDescent="0.2">
      <c r="A114" s="248"/>
      <c r="B114" s="1783"/>
      <c r="C114" s="1447"/>
      <c r="D114" s="1778"/>
      <c r="E114" s="145"/>
      <c r="F114" s="145"/>
      <c r="G114" s="145"/>
      <c r="H114" s="145"/>
      <c r="I114" s="137" t="s">
        <v>144</v>
      </c>
      <c r="J114" s="46" t="s">
        <v>137</v>
      </c>
      <c r="K114" s="217">
        <v>155</v>
      </c>
      <c r="L114" s="217">
        <v>155</v>
      </c>
      <c r="M114" s="217">
        <v>155</v>
      </c>
      <c r="N114" s="217">
        <v>155</v>
      </c>
      <c r="O114" s="217">
        <f>SUM(K114:N114)</f>
        <v>620</v>
      </c>
      <c r="P114" s="1808"/>
      <c r="Q114" s="1808"/>
      <c r="R114" s="1808"/>
      <c r="S114" s="1790">
        <f t="shared" si="16"/>
        <v>0</v>
      </c>
      <c r="T114" s="1790"/>
      <c r="U114" s="1790"/>
      <c r="V114" s="1790"/>
      <c r="W114" s="1790">
        <f t="shared" si="17"/>
        <v>0</v>
      </c>
      <c r="X114" s="1790"/>
      <c r="Y114" s="1790"/>
      <c r="Z114" s="1790"/>
      <c r="AA114" s="1790">
        <f t="shared" si="18"/>
        <v>0</v>
      </c>
      <c r="AB114" s="1790"/>
      <c r="AC114" s="1790"/>
      <c r="AD114" s="1790"/>
      <c r="AE114" s="1790">
        <f t="shared" si="19"/>
        <v>0</v>
      </c>
      <c r="AF114" s="1790">
        <f t="shared" si="10"/>
        <v>0</v>
      </c>
      <c r="AG114" s="193"/>
      <c r="AH114" s="193"/>
      <c r="AI114" s="118"/>
      <c r="AJ114" s="3"/>
      <c r="AK114" s="3"/>
      <c r="AL114" s="3"/>
    </row>
    <row r="115" spans="1:38" s="1" customFormat="1" ht="33.75" hidden="1" x14ac:dyDescent="0.2">
      <c r="A115" s="248"/>
      <c r="B115" s="1783"/>
      <c r="C115" s="1447"/>
      <c r="D115" s="1779"/>
      <c r="E115" s="145"/>
      <c r="F115" s="145"/>
      <c r="G115" s="145"/>
      <c r="H115" s="145"/>
      <c r="I115" s="137" t="s">
        <v>145</v>
      </c>
      <c r="J115" s="46" t="s">
        <v>137</v>
      </c>
      <c r="K115" s="217">
        <v>15</v>
      </c>
      <c r="L115" s="217">
        <v>15</v>
      </c>
      <c r="M115" s="217">
        <v>15</v>
      </c>
      <c r="N115" s="217">
        <v>15</v>
      </c>
      <c r="O115" s="217">
        <f>SUM(K115:N115)</f>
        <v>60</v>
      </c>
      <c r="P115" s="1808"/>
      <c r="Q115" s="1808"/>
      <c r="R115" s="1808"/>
      <c r="S115" s="1790">
        <f t="shared" si="16"/>
        <v>0</v>
      </c>
      <c r="T115" s="1790"/>
      <c r="U115" s="1790"/>
      <c r="V115" s="1790"/>
      <c r="W115" s="1790">
        <f t="shared" si="17"/>
        <v>0</v>
      </c>
      <c r="X115" s="1790"/>
      <c r="Y115" s="1790"/>
      <c r="Z115" s="1790"/>
      <c r="AA115" s="1790">
        <f t="shared" si="18"/>
        <v>0</v>
      </c>
      <c r="AB115" s="1790"/>
      <c r="AC115" s="1790"/>
      <c r="AD115" s="1790"/>
      <c r="AE115" s="1790">
        <f t="shared" si="19"/>
        <v>0</v>
      </c>
      <c r="AF115" s="1790">
        <f t="shared" si="10"/>
        <v>0</v>
      </c>
      <c r="AG115" s="193"/>
      <c r="AH115" s="193"/>
      <c r="AI115" s="118"/>
      <c r="AJ115" s="3"/>
      <c r="AK115" s="3"/>
      <c r="AL115" s="3"/>
    </row>
    <row r="116" spans="1:38" s="1" customFormat="1" ht="22.5" hidden="1" x14ac:dyDescent="0.2">
      <c r="A116" s="248"/>
      <c r="B116" s="1783"/>
      <c r="C116" s="1447"/>
      <c r="D116" s="41" t="s">
        <v>146</v>
      </c>
      <c r="E116" s="145"/>
      <c r="F116" s="145"/>
      <c r="G116" s="145"/>
      <c r="H116" s="145"/>
      <c r="I116" s="137" t="s">
        <v>526</v>
      </c>
      <c r="J116" s="46" t="s">
        <v>147</v>
      </c>
      <c r="K116" s="217">
        <v>100</v>
      </c>
      <c r="L116" s="217">
        <v>100</v>
      </c>
      <c r="M116" s="217">
        <v>100</v>
      </c>
      <c r="N116" s="217">
        <v>100</v>
      </c>
      <c r="O116" s="217">
        <v>100</v>
      </c>
      <c r="P116" s="1808"/>
      <c r="Q116" s="1808"/>
      <c r="R116" s="1808"/>
      <c r="S116" s="1790">
        <f t="shared" si="16"/>
        <v>0</v>
      </c>
      <c r="T116" s="1790"/>
      <c r="U116" s="1790"/>
      <c r="V116" s="1790"/>
      <c r="W116" s="1790">
        <f t="shared" si="17"/>
        <v>0</v>
      </c>
      <c r="X116" s="1790"/>
      <c r="Y116" s="1790"/>
      <c r="Z116" s="1790"/>
      <c r="AA116" s="1790">
        <f t="shared" si="18"/>
        <v>0</v>
      </c>
      <c r="AB116" s="1790"/>
      <c r="AC116" s="1790"/>
      <c r="AD116" s="1790"/>
      <c r="AE116" s="1790">
        <f t="shared" si="19"/>
        <v>0</v>
      </c>
      <c r="AF116" s="1790">
        <f t="shared" si="10"/>
        <v>0</v>
      </c>
      <c r="AG116" s="193"/>
      <c r="AH116" s="193"/>
      <c r="AI116" s="118"/>
      <c r="AJ116" s="3"/>
      <c r="AK116" s="3"/>
      <c r="AL116" s="3"/>
    </row>
    <row r="117" spans="1:38" s="1" customFormat="1" ht="22.5" hidden="1" x14ac:dyDescent="0.2">
      <c r="A117" s="248"/>
      <c r="B117" s="1783"/>
      <c r="C117" s="1447"/>
      <c r="D117" s="41" t="s">
        <v>148</v>
      </c>
      <c r="E117" s="145"/>
      <c r="F117" s="145"/>
      <c r="G117" s="145"/>
      <c r="H117" s="145"/>
      <c r="I117" s="137" t="s">
        <v>149</v>
      </c>
      <c r="J117" s="46" t="s">
        <v>137</v>
      </c>
      <c r="K117" s="217">
        <v>200</v>
      </c>
      <c r="L117" s="217">
        <v>200</v>
      </c>
      <c r="M117" s="217">
        <v>200</v>
      </c>
      <c r="N117" s="217">
        <v>200</v>
      </c>
      <c r="O117" s="217">
        <f>SUM(K117:N117)</f>
        <v>800</v>
      </c>
      <c r="P117" s="1808"/>
      <c r="Q117" s="1808"/>
      <c r="R117" s="1808"/>
      <c r="S117" s="1790">
        <f t="shared" si="16"/>
        <v>0</v>
      </c>
      <c r="T117" s="1790"/>
      <c r="U117" s="1790"/>
      <c r="V117" s="1790"/>
      <c r="W117" s="1790">
        <f t="shared" si="17"/>
        <v>0</v>
      </c>
      <c r="X117" s="1790"/>
      <c r="Y117" s="1790"/>
      <c r="Z117" s="1790"/>
      <c r="AA117" s="1790">
        <f t="shared" si="18"/>
        <v>0</v>
      </c>
      <c r="AB117" s="1790"/>
      <c r="AC117" s="1790"/>
      <c r="AD117" s="1790"/>
      <c r="AE117" s="1790">
        <f t="shared" si="19"/>
        <v>0</v>
      </c>
      <c r="AF117" s="1790">
        <f t="shared" si="10"/>
        <v>0</v>
      </c>
      <c r="AG117" s="193"/>
      <c r="AH117" s="193"/>
      <c r="AI117" s="118"/>
      <c r="AJ117" s="3"/>
      <c r="AK117" s="3"/>
      <c r="AL117" s="3"/>
    </row>
    <row r="118" spans="1:38" s="1" customFormat="1" ht="45" hidden="1" x14ac:dyDescent="0.2">
      <c r="A118" s="248"/>
      <c r="B118" s="1564"/>
      <c r="C118" s="1448"/>
      <c r="D118" s="41" t="s">
        <v>150</v>
      </c>
      <c r="E118" s="145"/>
      <c r="F118" s="145"/>
      <c r="G118" s="145"/>
      <c r="H118" s="145"/>
      <c r="I118" s="137" t="s">
        <v>151</v>
      </c>
      <c r="J118" s="46" t="s">
        <v>137</v>
      </c>
      <c r="K118" s="217">
        <v>120</v>
      </c>
      <c r="L118" s="217">
        <v>120</v>
      </c>
      <c r="M118" s="217">
        <v>120</v>
      </c>
      <c r="N118" s="217">
        <v>120</v>
      </c>
      <c r="O118" s="217">
        <f>SUM(K118:N118)</f>
        <v>480</v>
      </c>
      <c r="P118" s="1808"/>
      <c r="Q118" s="1808"/>
      <c r="R118" s="1808"/>
      <c r="S118" s="1790">
        <f t="shared" si="16"/>
        <v>0</v>
      </c>
      <c r="T118" s="1790"/>
      <c r="U118" s="1790"/>
      <c r="V118" s="1790"/>
      <c r="W118" s="1790">
        <f t="shared" si="17"/>
        <v>0</v>
      </c>
      <c r="X118" s="1790"/>
      <c r="Y118" s="1790"/>
      <c r="Z118" s="1790"/>
      <c r="AA118" s="1790">
        <f t="shared" si="18"/>
        <v>0</v>
      </c>
      <c r="AB118" s="1790"/>
      <c r="AC118" s="1790"/>
      <c r="AD118" s="1790"/>
      <c r="AE118" s="1790">
        <f t="shared" si="19"/>
        <v>0</v>
      </c>
      <c r="AF118" s="1790">
        <f t="shared" si="10"/>
        <v>0</v>
      </c>
      <c r="AG118" s="193"/>
      <c r="AH118" s="193"/>
      <c r="AI118" s="118"/>
      <c r="AJ118" s="3"/>
      <c r="AK118" s="3"/>
      <c r="AL118" s="3"/>
    </row>
    <row r="119" spans="1:38" s="1" customFormat="1" ht="33.75" x14ac:dyDescent="0.2">
      <c r="A119" s="248"/>
      <c r="B119" s="19" t="s">
        <v>86</v>
      </c>
      <c r="C119" s="19"/>
      <c r="D119" s="19"/>
      <c r="E119" s="139"/>
      <c r="F119" s="139"/>
      <c r="G119" s="139"/>
      <c r="H119" s="139"/>
      <c r="I119" s="139"/>
      <c r="J119" s="172"/>
      <c r="K119" s="213"/>
      <c r="L119" s="213"/>
      <c r="M119" s="213"/>
      <c r="N119" s="213"/>
      <c r="O119" s="213"/>
      <c r="P119" s="155">
        <f>+P120</f>
        <v>70000000</v>
      </c>
      <c r="Q119" s="155">
        <f>+Q120</f>
        <v>0</v>
      </c>
      <c r="R119" s="155">
        <f>+R120</f>
        <v>0</v>
      </c>
      <c r="S119" s="349">
        <f t="shared" si="16"/>
        <v>70000000</v>
      </c>
      <c r="T119" s="349">
        <f>+T120</f>
        <v>71000000</v>
      </c>
      <c r="U119" s="349">
        <f>+U120</f>
        <v>0</v>
      </c>
      <c r="V119" s="349">
        <f>+V120</f>
        <v>0</v>
      </c>
      <c r="W119" s="349">
        <f t="shared" si="17"/>
        <v>71000000</v>
      </c>
      <c r="X119" s="349">
        <f>+X120</f>
        <v>72000000</v>
      </c>
      <c r="Y119" s="349">
        <f>+Y120</f>
        <v>0</v>
      </c>
      <c r="Z119" s="349">
        <f>+Z120</f>
        <v>0</v>
      </c>
      <c r="AA119" s="349">
        <f t="shared" si="18"/>
        <v>72000000</v>
      </c>
      <c r="AB119" s="349">
        <f>+AB120</f>
        <v>73440000</v>
      </c>
      <c r="AC119" s="349">
        <f>+AC120</f>
        <v>0</v>
      </c>
      <c r="AD119" s="349">
        <f>+AD120</f>
        <v>0</v>
      </c>
      <c r="AE119" s="349">
        <f t="shared" si="19"/>
        <v>73440000</v>
      </c>
      <c r="AF119" s="349">
        <f t="shared" si="10"/>
        <v>286440000</v>
      </c>
      <c r="AG119" s="198"/>
      <c r="AH119" s="193">
        <f>+AF120</f>
        <v>286440000</v>
      </c>
      <c r="AI119" s="238">
        <v>70000000</v>
      </c>
      <c r="AJ119" s="7"/>
      <c r="AK119" s="7"/>
      <c r="AL119" s="3"/>
    </row>
    <row r="120" spans="1:38" s="1" customFormat="1" ht="33.75" hidden="1" x14ac:dyDescent="0.2">
      <c r="A120" s="248"/>
      <c r="B120" s="149"/>
      <c r="C120" s="41" t="s">
        <v>421</v>
      </c>
      <c r="D120" s="41" t="s">
        <v>464</v>
      </c>
      <c r="E120" s="145"/>
      <c r="F120" s="145"/>
      <c r="G120" s="145"/>
      <c r="H120" s="145"/>
      <c r="I120" s="145" t="s">
        <v>463</v>
      </c>
      <c r="J120" s="174" t="s">
        <v>147</v>
      </c>
      <c r="K120" s="217">
        <v>100</v>
      </c>
      <c r="L120" s="217">
        <v>100</v>
      </c>
      <c r="M120" s="217">
        <v>100</v>
      </c>
      <c r="N120" s="217">
        <v>100</v>
      </c>
      <c r="O120" s="222">
        <v>100</v>
      </c>
      <c r="P120" s="255">
        <v>70000000</v>
      </c>
      <c r="Q120" s="255"/>
      <c r="R120" s="255"/>
      <c r="S120" s="352">
        <f t="shared" si="16"/>
        <v>70000000</v>
      </c>
      <c r="T120" s="352">
        <v>71000000</v>
      </c>
      <c r="U120" s="352"/>
      <c r="V120" s="352"/>
      <c r="W120" s="352">
        <f t="shared" si="17"/>
        <v>71000000</v>
      </c>
      <c r="X120" s="352">
        <v>72000000</v>
      </c>
      <c r="Y120" s="352"/>
      <c r="Z120" s="352"/>
      <c r="AA120" s="352">
        <f t="shared" si="18"/>
        <v>72000000</v>
      </c>
      <c r="AB120" s="352">
        <f>+ROUND(X120*0.02,0)+X120</f>
        <v>73440000</v>
      </c>
      <c r="AC120" s="352"/>
      <c r="AD120" s="352"/>
      <c r="AE120" s="352">
        <f t="shared" si="19"/>
        <v>73440000</v>
      </c>
      <c r="AF120" s="350">
        <f t="shared" si="10"/>
        <v>286440000</v>
      </c>
      <c r="AG120" s="193"/>
      <c r="AH120" s="193"/>
      <c r="AI120" s="118"/>
      <c r="AJ120" s="3"/>
      <c r="AK120" s="3"/>
      <c r="AL120" s="3"/>
    </row>
    <row r="121" spans="1:38" s="1" customFormat="1" ht="45" x14ac:dyDescent="0.2">
      <c r="A121" s="248"/>
      <c r="B121" s="128" t="s">
        <v>111</v>
      </c>
      <c r="C121" s="128"/>
      <c r="D121" s="19"/>
      <c r="E121" s="139"/>
      <c r="F121" s="139"/>
      <c r="G121" s="139"/>
      <c r="H121" s="139"/>
      <c r="I121" s="139"/>
      <c r="J121" s="172"/>
      <c r="K121" s="213"/>
      <c r="L121" s="213"/>
      <c r="M121" s="213"/>
      <c r="N121" s="213"/>
      <c r="O121" s="213"/>
      <c r="P121" s="155">
        <f>+P122+P123+P124+P131+P132</f>
        <v>1862945608</v>
      </c>
      <c r="Q121" s="155">
        <f>+Q122+Q123+Q124+Q131+Q132</f>
        <v>0</v>
      </c>
      <c r="R121" s="155">
        <f>+R122+R123+R124+R131+R132</f>
        <v>0</v>
      </c>
      <c r="S121" s="349">
        <f t="shared" si="16"/>
        <v>1862945608</v>
      </c>
      <c r="T121" s="349">
        <f>+T122+T123+T124+T131+T132</f>
        <v>1960619000</v>
      </c>
      <c r="U121" s="349">
        <f>+U122+U123+U124+U131+U132</f>
        <v>0</v>
      </c>
      <c r="V121" s="349">
        <f>+V122+V123+V124+V131+V132</f>
        <v>0</v>
      </c>
      <c r="W121" s="349">
        <f t="shared" si="17"/>
        <v>1960619000</v>
      </c>
      <c r="X121" s="349">
        <f>+X122+X123+X124+X131+X132</f>
        <v>2060652330</v>
      </c>
      <c r="Y121" s="349">
        <f>+Y122+Y123+Y124+Y131+Y132</f>
        <v>0</v>
      </c>
      <c r="Z121" s="349">
        <f>+Z122+Z123+Z124+Z131+Z132</f>
        <v>0</v>
      </c>
      <c r="AA121" s="349">
        <f t="shared" si="18"/>
        <v>2060652330</v>
      </c>
      <c r="AB121" s="349">
        <f>+AB122+AB123+AB124+AB131+AB132</f>
        <v>2171596193</v>
      </c>
      <c r="AC121" s="349">
        <f>+AC122+AC123+AC124+AC131+AC132</f>
        <v>0</v>
      </c>
      <c r="AD121" s="349">
        <f>+AD122+AD123+AD124+AD131+AD132</f>
        <v>0</v>
      </c>
      <c r="AE121" s="349">
        <f t="shared" si="19"/>
        <v>2171596193</v>
      </c>
      <c r="AF121" s="349">
        <f t="shared" si="10"/>
        <v>8055813131</v>
      </c>
      <c r="AG121" s="198"/>
      <c r="AH121" s="193">
        <f>+AF122+AF123+AF124+AF131+AF132</f>
        <v>8055813131</v>
      </c>
      <c r="AI121" s="238">
        <v>459676931</v>
      </c>
      <c r="AJ121" s="7"/>
      <c r="AK121" s="7"/>
      <c r="AL121" s="3"/>
    </row>
    <row r="122" spans="1:38" s="1" customFormat="1" ht="22.5" hidden="1" x14ac:dyDescent="0.2">
      <c r="A122" s="248"/>
      <c r="B122" s="1568"/>
      <c r="C122" s="1446" t="s">
        <v>587</v>
      </c>
      <c r="D122" s="42" t="s">
        <v>112</v>
      </c>
      <c r="E122" s="145"/>
      <c r="F122" s="145"/>
      <c r="G122" s="145"/>
      <c r="H122" s="145"/>
      <c r="I122" s="16" t="s">
        <v>485</v>
      </c>
      <c r="J122" s="48" t="s">
        <v>137</v>
      </c>
      <c r="K122" s="223">
        <v>100</v>
      </c>
      <c r="L122" s="223">
        <v>100</v>
      </c>
      <c r="M122" s="223">
        <v>100</v>
      </c>
      <c r="N122" s="223">
        <v>100</v>
      </c>
      <c r="O122" s="217">
        <f>SUM(K122:N122)</f>
        <v>400</v>
      </c>
      <c r="P122" s="196">
        <v>40000000</v>
      </c>
      <c r="Q122" s="261"/>
      <c r="R122" s="261"/>
      <c r="S122" s="350">
        <f t="shared" si="16"/>
        <v>40000000</v>
      </c>
      <c r="T122" s="350">
        <f>+ROUND(P122*0.02,0)+P122</f>
        <v>40800000</v>
      </c>
      <c r="U122" s="350"/>
      <c r="V122" s="350"/>
      <c r="W122" s="350">
        <f t="shared" si="17"/>
        <v>40800000</v>
      </c>
      <c r="X122" s="350">
        <f>+ROUND(T122*0.02,0)+T122</f>
        <v>41616000</v>
      </c>
      <c r="Y122" s="350"/>
      <c r="Z122" s="350"/>
      <c r="AA122" s="350">
        <f t="shared" si="18"/>
        <v>41616000</v>
      </c>
      <c r="AB122" s="350">
        <f>+ROUND(X122*0.02,0)+X122</f>
        <v>42448320</v>
      </c>
      <c r="AC122" s="350"/>
      <c r="AD122" s="350"/>
      <c r="AE122" s="350">
        <f t="shared" si="19"/>
        <v>42448320</v>
      </c>
      <c r="AF122" s="350">
        <f t="shared" si="10"/>
        <v>164864320</v>
      </c>
      <c r="AG122" s="193"/>
      <c r="AH122" s="193"/>
      <c r="AI122" s="118"/>
      <c r="AJ122" s="3"/>
      <c r="AK122" s="3"/>
      <c r="AL122" s="3"/>
    </row>
    <row r="123" spans="1:38" s="1" customFormat="1" ht="33.75" hidden="1" x14ac:dyDescent="0.2">
      <c r="A123" s="248"/>
      <c r="B123" s="1569"/>
      <c r="C123" s="1569"/>
      <c r="D123" s="41" t="s">
        <v>538</v>
      </c>
      <c r="E123" s="145"/>
      <c r="F123" s="145"/>
      <c r="G123" s="145"/>
      <c r="H123" s="145"/>
      <c r="I123" s="16" t="s">
        <v>486</v>
      </c>
      <c r="J123" s="48" t="s">
        <v>137</v>
      </c>
      <c r="K123" s="223">
        <v>72</v>
      </c>
      <c r="L123" s="223">
        <v>72</v>
      </c>
      <c r="M123" s="223">
        <v>72</v>
      </c>
      <c r="N123" s="223">
        <v>72</v>
      </c>
      <c r="O123" s="217">
        <v>600</v>
      </c>
      <c r="P123" s="183">
        <v>50000000</v>
      </c>
      <c r="Q123" s="261"/>
      <c r="R123" s="261"/>
      <c r="S123" s="350">
        <f t="shared" si="16"/>
        <v>50000000</v>
      </c>
      <c r="T123" s="350">
        <f>+ROUND(P123*0.02,0)+P123</f>
        <v>51000000</v>
      </c>
      <c r="U123" s="350"/>
      <c r="V123" s="350"/>
      <c r="W123" s="350">
        <f t="shared" si="17"/>
        <v>51000000</v>
      </c>
      <c r="X123" s="350">
        <f>+ROUND(T123*0.02,0)+T123</f>
        <v>52020000</v>
      </c>
      <c r="Y123" s="350"/>
      <c r="Z123" s="350"/>
      <c r="AA123" s="350">
        <f t="shared" si="18"/>
        <v>52020000</v>
      </c>
      <c r="AB123" s="350">
        <f>+ROUND(X123*0.02,0)+X123</f>
        <v>53060400</v>
      </c>
      <c r="AC123" s="350"/>
      <c r="AD123" s="350"/>
      <c r="AE123" s="350">
        <f t="shared" si="19"/>
        <v>53060400</v>
      </c>
      <c r="AF123" s="350">
        <f t="shared" si="10"/>
        <v>206080400</v>
      </c>
      <c r="AG123" s="193"/>
      <c r="AH123" s="193"/>
      <c r="AI123" s="118"/>
      <c r="AJ123" s="3"/>
      <c r="AK123" s="3"/>
      <c r="AL123" s="3"/>
    </row>
    <row r="124" spans="1:38" s="1" customFormat="1" ht="11.25" hidden="1" x14ac:dyDescent="0.2">
      <c r="A124" s="248"/>
      <c r="B124" s="1569"/>
      <c r="C124" s="1569"/>
      <c r="D124" s="23" t="s">
        <v>114</v>
      </c>
      <c r="E124" s="145"/>
      <c r="F124" s="145"/>
      <c r="G124" s="145"/>
      <c r="H124" s="145"/>
      <c r="I124" s="137"/>
      <c r="J124" s="46"/>
      <c r="K124" s="217"/>
      <c r="L124" s="217"/>
      <c r="M124" s="217"/>
      <c r="N124" s="217"/>
      <c r="O124" s="217"/>
      <c r="P124" s="197">
        <f>SUM(P125:P130)</f>
        <v>307500000</v>
      </c>
      <c r="Q124" s="197">
        <f>SUM(Q125:Q130)</f>
        <v>0</v>
      </c>
      <c r="R124" s="197">
        <f>SUM(R125:R130)</f>
        <v>0</v>
      </c>
      <c r="S124" s="353">
        <f t="shared" si="16"/>
        <v>307500000</v>
      </c>
      <c r="T124" s="353">
        <f>SUM(T125:T130)</f>
        <v>266000000</v>
      </c>
      <c r="U124" s="353">
        <f>SUM(U125:U130)</f>
        <v>0</v>
      </c>
      <c r="V124" s="353">
        <f>SUM(V125:V130)</f>
        <v>0</v>
      </c>
      <c r="W124" s="353">
        <f t="shared" si="17"/>
        <v>266000000</v>
      </c>
      <c r="X124" s="353">
        <f>SUM(X125:X130)</f>
        <v>266000000</v>
      </c>
      <c r="Y124" s="353">
        <f>SUM(Y125:Y130)</f>
        <v>0</v>
      </c>
      <c r="Z124" s="353">
        <f>SUM(Z125:Z130)</f>
        <v>0</v>
      </c>
      <c r="AA124" s="353">
        <f t="shared" si="18"/>
        <v>266000000</v>
      </c>
      <c r="AB124" s="353">
        <f>SUM(AB125:AB130)</f>
        <v>266000000</v>
      </c>
      <c r="AC124" s="353">
        <f>SUM(AC125:AC130)</f>
        <v>0</v>
      </c>
      <c r="AD124" s="353">
        <f>SUM(AD125:AD130)</f>
        <v>0</v>
      </c>
      <c r="AE124" s="353">
        <f t="shared" si="19"/>
        <v>266000000</v>
      </c>
      <c r="AF124" s="353">
        <f t="shared" si="10"/>
        <v>1105500000</v>
      </c>
      <c r="AG124" s="198"/>
      <c r="AH124" s="193"/>
      <c r="AI124" s="118"/>
      <c r="AJ124" s="3"/>
      <c r="AK124" s="3"/>
      <c r="AL124" s="3"/>
    </row>
    <row r="125" spans="1:38" s="1" customFormat="1" ht="22.5" hidden="1" x14ac:dyDescent="0.2">
      <c r="A125" s="248"/>
      <c r="B125" s="1569"/>
      <c r="C125" s="1569"/>
      <c r="D125" s="16" t="s">
        <v>115</v>
      </c>
      <c r="E125" s="145"/>
      <c r="F125" s="145"/>
      <c r="G125" s="145"/>
      <c r="H125" s="145"/>
      <c r="I125" s="18" t="s">
        <v>169</v>
      </c>
      <c r="J125" s="48" t="s">
        <v>137</v>
      </c>
      <c r="K125" s="223">
        <v>1</v>
      </c>
      <c r="L125" s="223">
        <v>1</v>
      </c>
      <c r="M125" s="223">
        <v>1</v>
      </c>
      <c r="N125" s="223">
        <v>1</v>
      </c>
      <c r="O125" s="217">
        <v>4</v>
      </c>
      <c r="P125" s="183">
        <v>150000000</v>
      </c>
      <c r="Q125" s="261"/>
      <c r="R125" s="261"/>
      <c r="S125" s="350">
        <f t="shared" si="16"/>
        <v>150000000</v>
      </c>
      <c r="T125" s="350">
        <v>50000000</v>
      </c>
      <c r="U125" s="350"/>
      <c r="V125" s="350"/>
      <c r="W125" s="350">
        <f t="shared" si="17"/>
        <v>50000000</v>
      </c>
      <c r="X125" s="350">
        <v>50000000</v>
      </c>
      <c r="Y125" s="350"/>
      <c r="Z125" s="350"/>
      <c r="AA125" s="350">
        <f t="shared" si="18"/>
        <v>50000000</v>
      </c>
      <c r="AB125" s="350">
        <v>50000000</v>
      </c>
      <c r="AC125" s="350"/>
      <c r="AD125" s="350"/>
      <c r="AE125" s="350">
        <f t="shared" si="19"/>
        <v>50000000</v>
      </c>
      <c r="AF125" s="350">
        <f t="shared" si="10"/>
        <v>300000000</v>
      </c>
      <c r="AG125" s="193"/>
      <c r="AH125" s="193"/>
      <c r="AI125" s="118"/>
      <c r="AJ125" s="3"/>
      <c r="AK125" s="3"/>
      <c r="AL125" s="3"/>
    </row>
    <row r="126" spans="1:38" s="1" customFormat="1" ht="33.75" hidden="1" x14ac:dyDescent="0.2">
      <c r="A126" s="248"/>
      <c r="B126" s="1569"/>
      <c r="C126" s="1569"/>
      <c r="D126" s="16" t="s">
        <v>116</v>
      </c>
      <c r="E126" s="145"/>
      <c r="F126" s="145"/>
      <c r="G126" s="145"/>
      <c r="H126" s="145"/>
      <c r="I126" s="41" t="s">
        <v>170</v>
      </c>
      <c r="J126" s="48" t="s">
        <v>137</v>
      </c>
      <c r="K126" s="223">
        <v>150</v>
      </c>
      <c r="L126" s="223">
        <v>150</v>
      </c>
      <c r="M126" s="223">
        <v>150</v>
      </c>
      <c r="N126" s="223">
        <v>150</v>
      </c>
      <c r="O126" s="217">
        <v>600</v>
      </c>
      <c r="P126" s="183">
        <v>67000000</v>
      </c>
      <c r="Q126" s="261"/>
      <c r="R126" s="261"/>
      <c r="S126" s="350">
        <f t="shared" si="16"/>
        <v>67000000</v>
      </c>
      <c r="T126" s="350">
        <v>70000000</v>
      </c>
      <c r="U126" s="350"/>
      <c r="V126" s="350"/>
      <c r="W126" s="350">
        <f t="shared" si="17"/>
        <v>70000000</v>
      </c>
      <c r="X126" s="350">
        <v>70000000</v>
      </c>
      <c r="Y126" s="350"/>
      <c r="Z126" s="350"/>
      <c r="AA126" s="350">
        <f t="shared" si="18"/>
        <v>70000000</v>
      </c>
      <c r="AB126" s="350">
        <v>70000000</v>
      </c>
      <c r="AC126" s="350"/>
      <c r="AD126" s="350"/>
      <c r="AE126" s="350">
        <f t="shared" si="19"/>
        <v>70000000</v>
      </c>
      <c r="AF126" s="350">
        <f t="shared" si="10"/>
        <v>277000000</v>
      </c>
      <c r="AG126" s="193"/>
      <c r="AH126" s="193"/>
      <c r="AI126" s="118"/>
      <c r="AJ126" s="3"/>
      <c r="AK126" s="3"/>
      <c r="AL126" s="3"/>
    </row>
    <row r="127" spans="1:38" s="1" customFormat="1" ht="22.5" hidden="1" x14ac:dyDescent="0.2">
      <c r="A127" s="248"/>
      <c r="B127" s="1569"/>
      <c r="C127" s="1569"/>
      <c r="D127" s="16" t="s">
        <v>171</v>
      </c>
      <c r="E127" s="145"/>
      <c r="F127" s="145"/>
      <c r="G127" s="145"/>
      <c r="H127" s="145"/>
      <c r="I127" s="18" t="s">
        <v>532</v>
      </c>
      <c r="J127" s="48" t="s">
        <v>137</v>
      </c>
      <c r="K127" s="223">
        <v>200</v>
      </c>
      <c r="L127" s="223">
        <v>200</v>
      </c>
      <c r="M127" s="223">
        <v>200</v>
      </c>
      <c r="N127" s="223">
        <v>200</v>
      </c>
      <c r="O127" s="217">
        <v>800</v>
      </c>
      <c r="P127" s="183">
        <v>25000000</v>
      </c>
      <c r="Q127" s="261"/>
      <c r="R127" s="261"/>
      <c r="S127" s="350">
        <f t="shared" si="16"/>
        <v>25000000</v>
      </c>
      <c r="T127" s="350">
        <v>55000000</v>
      </c>
      <c r="U127" s="350"/>
      <c r="V127" s="350"/>
      <c r="W127" s="350">
        <f t="shared" si="17"/>
        <v>55000000</v>
      </c>
      <c r="X127" s="350">
        <v>55000000</v>
      </c>
      <c r="Y127" s="350"/>
      <c r="Z127" s="350"/>
      <c r="AA127" s="350">
        <f t="shared" si="18"/>
        <v>55000000</v>
      </c>
      <c r="AB127" s="350">
        <v>55000000</v>
      </c>
      <c r="AC127" s="350"/>
      <c r="AD127" s="350"/>
      <c r="AE127" s="350">
        <f t="shared" si="19"/>
        <v>55000000</v>
      </c>
      <c r="AF127" s="350">
        <f t="shared" si="10"/>
        <v>190000000</v>
      </c>
      <c r="AG127" s="193"/>
      <c r="AH127" s="193"/>
      <c r="AI127" s="118"/>
      <c r="AJ127" s="3"/>
      <c r="AK127" s="3"/>
      <c r="AL127" s="3"/>
    </row>
    <row r="128" spans="1:38" s="1" customFormat="1" ht="33.75" hidden="1" x14ac:dyDescent="0.2">
      <c r="A128" s="248"/>
      <c r="B128" s="1569"/>
      <c r="C128" s="1569"/>
      <c r="D128" s="16" t="s">
        <v>118</v>
      </c>
      <c r="E128" s="145"/>
      <c r="F128" s="145"/>
      <c r="G128" s="145"/>
      <c r="H128" s="145"/>
      <c r="I128" s="18" t="s">
        <v>172</v>
      </c>
      <c r="J128" s="48" t="s">
        <v>137</v>
      </c>
      <c r="K128" s="223">
        <v>350</v>
      </c>
      <c r="L128" s="223">
        <v>350</v>
      </c>
      <c r="M128" s="223">
        <v>350</v>
      </c>
      <c r="N128" s="223">
        <v>350</v>
      </c>
      <c r="O128" s="187">
        <v>1400</v>
      </c>
      <c r="P128" s="183">
        <v>52000000</v>
      </c>
      <c r="Q128" s="261"/>
      <c r="R128" s="261"/>
      <c r="S128" s="350">
        <f t="shared" si="16"/>
        <v>52000000</v>
      </c>
      <c r="T128" s="350">
        <v>60000000</v>
      </c>
      <c r="U128" s="350"/>
      <c r="V128" s="350"/>
      <c r="W128" s="350">
        <f t="shared" si="17"/>
        <v>60000000</v>
      </c>
      <c r="X128" s="350">
        <v>60000000</v>
      </c>
      <c r="Y128" s="350"/>
      <c r="Z128" s="350"/>
      <c r="AA128" s="350">
        <f t="shared" si="18"/>
        <v>60000000</v>
      </c>
      <c r="AB128" s="350">
        <v>60000000</v>
      </c>
      <c r="AC128" s="350"/>
      <c r="AD128" s="350"/>
      <c r="AE128" s="350">
        <f t="shared" si="19"/>
        <v>60000000</v>
      </c>
      <c r="AF128" s="350">
        <f t="shared" si="10"/>
        <v>232000000</v>
      </c>
      <c r="AG128" s="193"/>
      <c r="AH128" s="193"/>
      <c r="AI128" s="118"/>
      <c r="AJ128" s="3"/>
      <c r="AK128" s="3"/>
      <c r="AL128" s="3"/>
    </row>
    <row r="129" spans="1:38" s="1" customFormat="1" ht="33.75" hidden="1" x14ac:dyDescent="0.2">
      <c r="A129" s="248"/>
      <c r="B129" s="1569"/>
      <c r="C129" s="1569"/>
      <c r="D129" s="16" t="s">
        <v>119</v>
      </c>
      <c r="E129" s="145"/>
      <c r="F129" s="145"/>
      <c r="G129" s="145"/>
      <c r="H129" s="145"/>
      <c r="I129" s="16" t="s">
        <v>173</v>
      </c>
      <c r="J129" s="48" t="s">
        <v>137</v>
      </c>
      <c r="K129" s="223">
        <v>60</v>
      </c>
      <c r="L129" s="223">
        <v>60</v>
      </c>
      <c r="M129" s="223">
        <v>60</v>
      </c>
      <c r="N129" s="223">
        <v>60</v>
      </c>
      <c r="O129" s="217">
        <v>240</v>
      </c>
      <c r="P129" s="183">
        <v>13500000</v>
      </c>
      <c r="Q129" s="261"/>
      <c r="R129" s="261"/>
      <c r="S129" s="350">
        <f t="shared" si="16"/>
        <v>13500000</v>
      </c>
      <c r="T129" s="350">
        <v>16000000</v>
      </c>
      <c r="U129" s="350"/>
      <c r="V129" s="350"/>
      <c r="W129" s="350">
        <f t="shared" si="17"/>
        <v>16000000</v>
      </c>
      <c r="X129" s="350">
        <v>16000000</v>
      </c>
      <c r="Y129" s="350"/>
      <c r="Z129" s="350"/>
      <c r="AA129" s="350">
        <f t="shared" si="18"/>
        <v>16000000</v>
      </c>
      <c r="AB129" s="350">
        <v>16000000</v>
      </c>
      <c r="AC129" s="350"/>
      <c r="AD129" s="350"/>
      <c r="AE129" s="350">
        <f t="shared" si="19"/>
        <v>16000000</v>
      </c>
      <c r="AF129" s="350">
        <f t="shared" si="10"/>
        <v>61500000</v>
      </c>
      <c r="AG129" s="193"/>
      <c r="AH129" s="193"/>
      <c r="AI129" s="118"/>
      <c r="AJ129" s="3"/>
      <c r="AK129" s="3"/>
      <c r="AL129" s="3"/>
    </row>
    <row r="130" spans="1:38" s="1" customFormat="1" ht="33.75" hidden="1" x14ac:dyDescent="0.2">
      <c r="A130" s="248"/>
      <c r="B130" s="1569"/>
      <c r="C130" s="1569"/>
      <c r="D130" s="16" t="s">
        <v>174</v>
      </c>
      <c r="E130" s="145"/>
      <c r="F130" s="145"/>
      <c r="G130" s="145"/>
      <c r="H130" s="145"/>
      <c r="I130" s="16"/>
      <c r="J130" s="48"/>
      <c r="K130" s="223"/>
      <c r="L130" s="223"/>
      <c r="M130" s="223"/>
      <c r="N130" s="223"/>
      <c r="O130" s="217"/>
      <c r="P130" s="183"/>
      <c r="Q130" s="261"/>
      <c r="R130" s="261"/>
      <c r="S130" s="350">
        <f t="shared" si="16"/>
        <v>0</v>
      </c>
      <c r="T130" s="350">
        <v>15000000</v>
      </c>
      <c r="U130" s="350"/>
      <c r="V130" s="350"/>
      <c r="W130" s="350">
        <f t="shared" si="17"/>
        <v>15000000</v>
      </c>
      <c r="X130" s="350">
        <v>15000000</v>
      </c>
      <c r="Y130" s="350"/>
      <c r="Z130" s="350"/>
      <c r="AA130" s="350">
        <f t="shared" si="18"/>
        <v>15000000</v>
      </c>
      <c r="AB130" s="350">
        <v>15000000</v>
      </c>
      <c r="AC130" s="350"/>
      <c r="AD130" s="350"/>
      <c r="AE130" s="350">
        <f t="shared" si="19"/>
        <v>15000000</v>
      </c>
      <c r="AF130" s="350">
        <f t="shared" si="10"/>
        <v>45000000</v>
      </c>
      <c r="AG130" s="193"/>
      <c r="AH130" s="193"/>
      <c r="AI130" s="118"/>
      <c r="AJ130" s="3"/>
      <c r="AK130" s="3"/>
      <c r="AL130" s="3"/>
    </row>
    <row r="131" spans="1:38" s="1" customFormat="1" ht="22.5" hidden="1" x14ac:dyDescent="0.2">
      <c r="A131" s="248"/>
      <c r="B131" s="1569"/>
      <c r="C131" s="1569"/>
      <c r="D131" s="205" t="s">
        <v>533</v>
      </c>
      <c r="E131" s="138"/>
      <c r="F131" s="138"/>
      <c r="G131" s="138"/>
      <c r="H131" s="138"/>
      <c r="I131" s="1802" t="s">
        <v>576</v>
      </c>
      <c r="J131" s="1804" t="s">
        <v>147</v>
      </c>
      <c r="K131" s="1806">
        <v>45</v>
      </c>
      <c r="L131" s="1806">
        <v>45</v>
      </c>
      <c r="M131" s="1806">
        <v>45</v>
      </c>
      <c r="N131" s="1806">
        <v>45</v>
      </c>
      <c r="O131" s="1806">
        <v>45</v>
      </c>
      <c r="P131" s="197">
        <v>200000000</v>
      </c>
      <c r="Q131" s="263"/>
      <c r="R131" s="263"/>
      <c r="S131" s="354">
        <f t="shared" si="16"/>
        <v>200000000</v>
      </c>
      <c r="T131" s="354">
        <v>200000000</v>
      </c>
      <c r="U131" s="354"/>
      <c r="V131" s="354"/>
      <c r="W131" s="354">
        <f t="shared" si="17"/>
        <v>200000000</v>
      </c>
      <c r="X131" s="354">
        <v>200000000</v>
      </c>
      <c r="Y131" s="354"/>
      <c r="Z131" s="354"/>
      <c r="AA131" s="354">
        <f t="shared" si="18"/>
        <v>200000000</v>
      </c>
      <c r="AB131" s="354">
        <f>+ROUND(X131*0.02,0)+X131</f>
        <v>204000000</v>
      </c>
      <c r="AC131" s="354"/>
      <c r="AD131" s="354"/>
      <c r="AE131" s="354">
        <f t="shared" si="19"/>
        <v>204000000</v>
      </c>
      <c r="AF131" s="354">
        <f t="shared" si="10"/>
        <v>804000000</v>
      </c>
      <c r="AG131" s="198"/>
      <c r="AH131" s="193"/>
      <c r="AI131" s="118"/>
      <c r="AJ131" s="3"/>
      <c r="AK131" s="3"/>
      <c r="AL131" s="3"/>
    </row>
    <row r="132" spans="1:38" s="1" customFormat="1" ht="22.5" hidden="1" x14ac:dyDescent="0.2">
      <c r="A132" s="248"/>
      <c r="B132" s="1570"/>
      <c r="C132" s="1570"/>
      <c r="D132" s="205" t="s">
        <v>120</v>
      </c>
      <c r="E132" s="138"/>
      <c r="F132" s="138"/>
      <c r="G132" s="138"/>
      <c r="H132" s="138"/>
      <c r="I132" s="1803"/>
      <c r="J132" s="1805"/>
      <c r="K132" s="1807">
        <v>1400</v>
      </c>
      <c r="L132" s="1807">
        <v>1400</v>
      </c>
      <c r="M132" s="1807">
        <v>1400</v>
      </c>
      <c r="N132" s="1807">
        <v>1400</v>
      </c>
      <c r="O132" s="1807"/>
      <c r="P132" s="197">
        <v>1265445608</v>
      </c>
      <c r="Q132" s="263"/>
      <c r="R132" s="263"/>
      <c r="S132" s="354">
        <f t="shared" si="16"/>
        <v>1265445608</v>
      </c>
      <c r="T132" s="354">
        <v>1402819000</v>
      </c>
      <c r="U132" s="354"/>
      <c r="V132" s="354"/>
      <c r="W132" s="354">
        <f t="shared" si="17"/>
        <v>1402819000</v>
      </c>
      <c r="X132" s="354">
        <v>1501016330</v>
      </c>
      <c r="Y132" s="354"/>
      <c r="Z132" s="354"/>
      <c r="AA132" s="354">
        <f t="shared" si="18"/>
        <v>1501016330</v>
      </c>
      <c r="AB132" s="354">
        <v>1606087473</v>
      </c>
      <c r="AC132" s="354"/>
      <c r="AD132" s="354"/>
      <c r="AE132" s="354">
        <f t="shared" si="19"/>
        <v>1606087473</v>
      </c>
      <c r="AF132" s="354">
        <f t="shared" si="10"/>
        <v>5775368411</v>
      </c>
      <c r="AG132" s="198"/>
      <c r="AH132" s="193"/>
      <c r="AI132" s="118"/>
      <c r="AJ132" s="3"/>
      <c r="AK132" s="3"/>
      <c r="AL132" s="3"/>
    </row>
    <row r="133" spans="1:38" s="1" customFormat="1" ht="45" x14ac:dyDescent="0.2">
      <c r="A133" s="248"/>
      <c r="B133" s="128" t="s">
        <v>121</v>
      </c>
      <c r="C133" s="128"/>
      <c r="D133" s="19"/>
      <c r="E133" s="139"/>
      <c r="F133" s="139"/>
      <c r="G133" s="139"/>
      <c r="H133" s="139"/>
      <c r="I133" s="139"/>
      <c r="J133" s="172"/>
      <c r="K133" s="213"/>
      <c r="L133" s="213"/>
      <c r="M133" s="213"/>
      <c r="N133" s="213"/>
      <c r="O133" s="213"/>
      <c r="P133" s="155">
        <f>+P134</f>
        <v>200000000</v>
      </c>
      <c r="Q133" s="155">
        <f>+Q134</f>
        <v>0</v>
      </c>
      <c r="R133" s="155">
        <f>+R134</f>
        <v>0</v>
      </c>
      <c r="S133" s="349">
        <f t="shared" si="16"/>
        <v>200000000</v>
      </c>
      <c r="T133" s="349">
        <f>+T134</f>
        <v>200000000</v>
      </c>
      <c r="U133" s="349">
        <f>+U134</f>
        <v>0</v>
      </c>
      <c r="V133" s="349">
        <f>+V134</f>
        <v>0</v>
      </c>
      <c r="W133" s="349">
        <f t="shared" si="17"/>
        <v>200000000</v>
      </c>
      <c r="X133" s="349">
        <f>+X134</f>
        <v>200000000</v>
      </c>
      <c r="Y133" s="349">
        <f>+Y134</f>
        <v>0</v>
      </c>
      <c r="Z133" s="349">
        <f>+Z134</f>
        <v>0</v>
      </c>
      <c r="AA133" s="349">
        <f t="shared" si="18"/>
        <v>200000000</v>
      </c>
      <c r="AB133" s="349">
        <f>+AB134</f>
        <v>204844560</v>
      </c>
      <c r="AC133" s="349">
        <f>+AC134</f>
        <v>0</v>
      </c>
      <c r="AD133" s="349">
        <f>+AD134</f>
        <v>0</v>
      </c>
      <c r="AE133" s="349">
        <f t="shared" si="19"/>
        <v>204844560</v>
      </c>
      <c r="AF133" s="349">
        <f t="shared" si="10"/>
        <v>804844560</v>
      </c>
      <c r="AG133" s="198"/>
      <c r="AH133" s="193">
        <f>+AF134</f>
        <v>804844560</v>
      </c>
      <c r="AI133" s="238">
        <v>119238168</v>
      </c>
      <c r="AJ133" s="7"/>
      <c r="AK133" s="7"/>
      <c r="AL133" s="3"/>
    </row>
    <row r="134" spans="1:38" s="1" customFormat="1" ht="67.5" hidden="1" x14ac:dyDescent="0.2">
      <c r="A134" s="248"/>
      <c r="B134" s="1563"/>
      <c r="C134" s="1446" t="s">
        <v>421</v>
      </c>
      <c r="D134" s="1568" t="s">
        <v>120</v>
      </c>
      <c r="E134" s="145"/>
      <c r="F134" s="145"/>
      <c r="G134" s="145"/>
      <c r="H134" s="145"/>
      <c r="I134" s="207" t="s">
        <v>476</v>
      </c>
      <c r="J134" s="275" t="s">
        <v>147</v>
      </c>
      <c r="K134" s="233">
        <v>100</v>
      </c>
      <c r="L134" s="217">
        <v>100</v>
      </c>
      <c r="M134" s="217">
        <v>100</v>
      </c>
      <c r="N134" s="217">
        <v>100</v>
      </c>
      <c r="O134" s="217">
        <v>100</v>
      </c>
      <c r="P134" s="1780">
        <v>200000000</v>
      </c>
      <c r="Q134" s="1780"/>
      <c r="R134" s="1780"/>
      <c r="S134" s="1767">
        <f t="shared" si="16"/>
        <v>200000000</v>
      </c>
      <c r="T134" s="1767">
        <v>200000000</v>
      </c>
      <c r="U134" s="1767"/>
      <c r="V134" s="1767"/>
      <c r="W134" s="1767">
        <f t="shared" si="17"/>
        <v>200000000</v>
      </c>
      <c r="X134" s="1767">
        <v>200000000</v>
      </c>
      <c r="Y134" s="1767"/>
      <c r="Z134" s="1767"/>
      <c r="AA134" s="1767">
        <f t="shared" si="18"/>
        <v>200000000</v>
      </c>
      <c r="AB134" s="1767">
        <v>204844560</v>
      </c>
      <c r="AC134" s="1767"/>
      <c r="AD134" s="1767"/>
      <c r="AE134" s="1767">
        <f t="shared" si="19"/>
        <v>204844560</v>
      </c>
      <c r="AF134" s="1767">
        <f t="shared" si="10"/>
        <v>804844560</v>
      </c>
      <c r="AG134" s="332"/>
      <c r="AH134" s="193"/>
      <c r="AI134" s="118"/>
      <c r="AJ134" s="3"/>
      <c r="AK134" s="3"/>
      <c r="AL134" s="3"/>
    </row>
    <row r="135" spans="1:38" s="1" customFormat="1" ht="33.75" hidden="1" x14ac:dyDescent="0.2">
      <c r="A135" s="248"/>
      <c r="B135" s="1564"/>
      <c r="C135" s="1448"/>
      <c r="D135" s="1570"/>
      <c r="E135" s="145"/>
      <c r="F135" s="145"/>
      <c r="G135" s="145"/>
      <c r="H135" s="145"/>
      <c r="I135" s="207" t="s">
        <v>534</v>
      </c>
      <c r="J135" s="275" t="s">
        <v>137</v>
      </c>
      <c r="K135" s="233">
        <v>800</v>
      </c>
      <c r="L135" s="217">
        <v>800</v>
      </c>
      <c r="M135" s="217">
        <v>800</v>
      </c>
      <c r="N135" s="217">
        <v>800</v>
      </c>
      <c r="O135" s="233">
        <f>(K135+L135+M135+N135)</f>
        <v>3200</v>
      </c>
      <c r="P135" s="1782"/>
      <c r="Q135" s="1782"/>
      <c r="R135" s="1782"/>
      <c r="S135" s="1769"/>
      <c r="T135" s="1769"/>
      <c r="U135" s="1769"/>
      <c r="V135" s="1769"/>
      <c r="W135" s="1769"/>
      <c r="X135" s="1769"/>
      <c r="Y135" s="1769"/>
      <c r="Z135" s="1769"/>
      <c r="AA135" s="1769"/>
      <c r="AB135" s="1769"/>
      <c r="AC135" s="1769"/>
      <c r="AD135" s="1769"/>
      <c r="AE135" s="1769"/>
      <c r="AF135" s="1769"/>
      <c r="AG135" s="332"/>
      <c r="AH135" s="193"/>
      <c r="AI135" s="118"/>
      <c r="AJ135" s="3"/>
      <c r="AK135" s="3"/>
      <c r="AL135" s="3"/>
    </row>
    <row r="136" spans="1:38" s="1" customFormat="1" ht="60.75" customHeight="1" x14ac:dyDescent="0.2">
      <c r="A136" s="289" t="s">
        <v>611</v>
      </c>
      <c r="B136" s="289" t="s">
        <v>611</v>
      </c>
      <c r="C136" s="327"/>
      <c r="D136" s="328"/>
      <c r="E136" s="316"/>
      <c r="F136" s="316"/>
      <c r="G136" s="316"/>
      <c r="H136" s="316"/>
      <c r="I136" s="326"/>
      <c r="J136" s="329"/>
      <c r="K136" s="330"/>
      <c r="L136" s="317"/>
      <c r="M136" s="317"/>
      <c r="N136" s="317"/>
      <c r="O136" s="330"/>
      <c r="P136" s="325">
        <f>+P137</f>
        <v>516000000</v>
      </c>
      <c r="Q136" s="325">
        <f>+Q137</f>
        <v>0</v>
      </c>
      <c r="R136" s="325">
        <f>+R137</f>
        <v>0</v>
      </c>
      <c r="S136" s="370">
        <f>SUM(P136:R136)</f>
        <v>516000000</v>
      </c>
      <c r="T136" s="370">
        <f>+T137</f>
        <v>527000000</v>
      </c>
      <c r="U136" s="370">
        <f>+U137</f>
        <v>0</v>
      </c>
      <c r="V136" s="370">
        <f>+V137</f>
        <v>0</v>
      </c>
      <c r="W136" s="370">
        <f>SUM(T136:V136)</f>
        <v>527000000</v>
      </c>
      <c r="X136" s="370">
        <f>+X137</f>
        <v>543000000</v>
      </c>
      <c r="Y136" s="370">
        <f>+Y137</f>
        <v>0</v>
      </c>
      <c r="Z136" s="370">
        <f>+Z137</f>
        <v>0</v>
      </c>
      <c r="AA136" s="370">
        <f>SUM(X136:Z136)</f>
        <v>543000000</v>
      </c>
      <c r="AB136" s="370">
        <f>+AB137</f>
        <v>553000000</v>
      </c>
      <c r="AC136" s="370">
        <f>+AC137</f>
        <v>0</v>
      </c>
      <c r="AD136" s="370">
        <f>+AD137</f>
        <v>0</v>
      </c>
      <c r="AE136" s="370">
        <f>SUM(AB136:AD136)</f>
        <v>553000000</v>
      </c>
      <c r="AF136" s="369">
        <f t="shared" ref="AF136:AF176" si="20">+S136+W136+AA136+AE136</f>
        <v>2139000000</v>
      </c>
      <c r="AG136" s="334">
        <f>+AF136/AF184*100</f>
        <v>3.5690940721787405</v>
      </c>
      <c r="AH136" s="198"/>
      <c r="AI136" s="238"/>
      <c r="AJ136" s="7"/>
      <c r="AK136" s="7"/>
      <c r="AL136" s="7"/>
    </row>
    <row r="137" spans="1:38" s="1" customFormat="1" ht="67.5" x14ac:dyDescent="0.2">
      <c r="A137" s="248"/>
      <c r="B137" s="19" t="s">
        <v>613</v>
      </c>
      <c r="C137" s="128"/>
      <c r="D137" s="19"/>
      <c r="E137" s="139"/>
      <c r="F137" s="139"/>
      <c r="G137" s="139"/>
      <c r="H137" s="139"/>
      <c r="I137" s="139"/>
      <c r="J137" s="172"/>
      <c r="K137" s="213"/>
      <c r="L137" s="213"/>
      <c r="M137" s="213"/>
      <c r="N137" s="213"/>
      <c r="O137" s="213"/>
      <c r="P137" s="155">
        <f>SUM(P138:P145)</f>
        <v>516000000</v>
      </c>
      <c r="Q137" s="155">
        <f>SUM(Q138:Q145)</f>
        <v>0</v>
      </c>
      <c r="R137" s="155">
        <f>SUM(R138:R145)</f>
        <v>0</v>
      </c>
      <c r="S137" s="349">
        <f>SUM(P137:R137)</f>
        <v>516000000</v>
      </c>
      <c r="T137" s="349">
        <f>SUM(T138:T145)</f>
        <v>527000000</v>
      </c>
      <c r="U137" s="349">
        <f>SUM(U138:U145)</f>
        <v>0</v>
      </c>
      <c r="V137" s="349">
        <f>SUM(V138:V145)</f>
        <v>0</v>
      </c>
      <c r="W137" s="349">
        <f>SUM(T137:V137)</f>
        <v>527000000</v>
      </c>
      <c r="X137" s="349">
        <f>SUM(X138:X145)</f>
        <v>543000000</v>
      </c>
      <c r="Y137" s="349">
        <f>SUM(Y138:Y145)</f>
        <v>0</v>
      </c>
      <c r="Z137" s="349">
        <f>SUM(Z138:Z145)</f>
        <v>0</v>
      </c>
      <c r="AA137" s="349">
        <f>SUM(X137:Z137)</f>
        <v>543000000</v>
      </c>
      <c r="AB137" s="349">
        <f>SUM(AB138:AB145)</f>
        <v>553000000</v>
      </c>
      <c r="AC137" s="349">
        <f>SUM(AC138:AC145)</f>
        <v>0</v>
      </c>
      <c r="AD137" s="349">
        <f>SUM(AD138:AD145)</f>
        <v>0</v>
      </c>
      <c r="AE137" s="349">
        <f>SUM(AB137:AD137)</f>
        <v>553000000</v>
      </c>
      <c r="AF137" s="349">
        <f t="shared" si="20"/>
        <v>2139000000</v>
      </c>
      <c r="AG137" s="198"/>
      <c r="AH137" s="193">
        <f>SUM(AF138:AF145)</f>
        <v>2139000000</v>
      </c>
      <c r="AI137" s="238">
        <v>150000000</v>
      </c>
      <c r="AJ137" s="7"/>
      <c r="AK137" s="7"/>
      <c r="AL137" s="3"/>
    </row>
    <row r="138" spans="1:38" s="1" customFormat="1" ht="11.25" hidden="1" customHeight="1" x14ac:dyDescent="0.2">
      <c r="A138" s="248"/>
      <c r="B138" s="258"/>
      <c r="C138" s="1446" t="s">
        <v>421</v>
      </c>
      <c r="D138" s="1689" t="s">
        <v>159</v>
      </c>
      <c r="E138" s="145"/>
      <c r="F138" s="145"/>
      <c r="G138" s="145"/>
      <c r="H138" s="145"/>
      <c r="I138" s="1689" t="s">
        <v>549</v>
      </c>
      <c r="J138" s="45" t="s">
        <v>470</v>
      </c>
      <c r="K138" s="211">
        <v>9</v>
      </c>
      <c r="L138" s="211">
        <v>12</v>
      </c>
      <c r="M138" s="211">
        <v>12</v>
      </c>
      <c r="N138" s="211">
        <v>12</v>
      </c>
      <c r="O138" s="211">
        <f>SUM(K138:N138)</f>
        <v>45</v>
      </c>
      <c r="P138" s="1422">
        <v>204000000</v>
      </c>
      <c r="Q138" s="1422"/>
      <c r="R138" s="1422"/>
      <c r="S138" s="1791">
        <f>SUM(P138:R138)</f>
        <v>204000000</v>
      </c>
      <c r="T138" s="1791">
        <v>204000000</v>
      </c>
      <c r="U138" s="1791"/>
      <c r="V138" s="1791"/>
      <c r="W138" s="1791">
        <f>SUM(T138:V138)</f>
        <v>204000000</v>
      </c>
      <c r="X138" s="1791">
        <v>206000000</v>
      </c>
      <c r="Y138" s="1791"/>
      <c r="Z138" s="1791"/>
      <c r="AA138" s="1791">
        <f>SUM(X138:Z138)</f>
        <v>206000000</v>
      </c>
      <c r="AB138" s="1791">
        <v>206000000</v>
      </c>
      <c r="AC138" s="1791"/>
      <c r="AD138" s="1791"/>
      <c r="AE138" s="1791">
        <f>SUM(AB138:AD138)</f>
        <v>206000000</v>
      </c>
      <c r="AF138" s="1791">
        <f t="shared" si="20"/>
        <v>820000000</v>
      </c>
      <c r="AG138" s="332"/>
      <c r="AH138" s="191"/>
      <c r="AI138" s="118"/>
      <c r="AJ138" s="3"/>
      <c r="AK138" s="3"/>
      <c r="AL138" s="3"/>
    </row>
    <row r="139" spans="1:38" s="1" customFormat="1" ht="11.25" hidden="1" x14ac:dyDescent="0.2">
      <c r="A139" s="248"/>
      <c r="B139" s="258"/>
      <c r="C139" s="1447"/>
      <c r="D139" s="1778"/>
      <c r="E139" s="145"/>
      <c r="F139" s="145"/>
      <c r="G139" s="145"/>
      <c r="H139" s="145"/>
      <c r="I139" s="1778"/>
      <c r="J139" s="45" t="s">
        <v>471</v>
      </c>
      <c r="K139" s="211">
        <v>12</v>
      </c>
      <c r="L139" s="211">
        <v>15</v>
      </c>
      <c r="M139" s="211">
        <v>15</v>
      </c>
      <c r="N139" s="211">
        <v>15</v>
      </c>
      <c r="O139" s="211">
        <f>SUM(K139:N139)</f>
        <v>57</v>
      </c>
      <c r="P139" s="1476"/>
      <c r="Q139" s="1476"/>
      <c r="R139" s="1476"/>
      <c r="S139" s="1792"/>
      <c r="T139" s="1792"/>
      <c r="U139" s="1792"/>
      <c r="V139" s="1792"/>
      <c r="W139" s="1792"/>
      <c r="X139" s="1792"/>
      <c r="Y139" s="1792"/>
      <c r="Z139" s="1792"/>
      <c r="AA139" s="1792"/>
      <c r="AB139" s="1792"/>
      <c r="AC139" s="1792"/>
      <c r="AD139" s="1792"/>
      <c r="AE139" s="1792"/>
      <c r="AF139" s="1792">
        <f t="shared" si="20"/>
        <v>0</v>
      </c>
      <c r="AG139" s="332"/>
      <c r="AH139" s="191"/>
      <c r="AI139" s="118"/>
      <c r="AJ139" s="3"/>
      <c r="AK139" s="3"/>
      <c r="AL139" s="3"/>
    </row>
    <row r="140" spans="1:38" s="1" customFormat="1" ht="11.25" hidden="1" x14ac:dyDescent="0.2">
      <c r="A140" s="248"/>
      <c r="B140" s="258"/>
      <c r="C140" s="1447"/>
      <c r="D140" s="1778"/>
      <c r="E140" s="145"/>
      <c r="F140" s="145"/>
      <c r="G140" s="145"/>
      <c r="H140" s="145"/>
      <c r="I140" s="1778"/>
      <c r="J140" s="45" t="s">
        <v>472</v>
      </c>
      <c r="K140" s="211">
        <v>12</v>
      </c>
      <c r="L140" s="211">
        <v>15</v>
      </c>
      <c r="M140" s="211">
        <v>15</v>
      </c>
      <c r="N140" s="211">
        <v>15</v>
      </c>
      <c r="O140" s="211">
        <f>SUM(K140:N140)</f>
        <v>57</v>
      </c>
      <c r="P140" s="1476"/>
      <c r="Q140" s="1476"/>
      <c r="R140" s="1476"/>
      <c r="S140" s="1792"/>
      <c r="T140" s="1792"/>
      <c r="U140" s="1792"/>
      <c r="V140" s="1792"/>
      <c r="W140" s="1792"/>
      <c r="X140" s="1792"/>
      <c r="Y140" s="1792"/>
      <c r="Z140" s="1792"/>
      <c r="AA140" s="1792"/>
      <c r="AB140" s="1792"/>
      <c r="AC140" s="1792"/>
      <c r="AD140" s="1792"/>
      <c r="AE140" s="1792"/>
      <c r="AF140" s="1792">
        <f t="shared" si="20"/>
        <v>0</v>
      </c>
      <c r="AG140" s="332"/>
      <c r="AH140" s="191"/>
      <c r="AI140" s="118"/>
      <c r="AJ140" s="3"/>
      <c r="AK140" s="3"/>
      <c r="AL140" s="3"/>
    </row>
    <row r="141" spans="1:38" s="1" customFormat="1" ht="11.25" hidden="1" x14ac:dyDescent="0.2">
      <c r="A141" s="248"/>
      <c r="B141" s="258"/>
      <c r="C141" s="1447"/>
      <c r="D141" s="1779"/>
      <c r="E141" s="145"/>
      <c r="F141" s="145"/>
      <c r="G141" s="145"/>
      <c r="H141" s="145"/>
      <c r="I141" s="1779"/>
      <c r="J141" s="45" t="s">
        <v>137</v>
      </c>
      <c r="K141" s="211">
        <v>3</v>
      </c>
      <c r="L141" s="211">
        <v>3</v>
      </c>
      <c r="M141" s="211">
        <v>3</v>
      </c>
      <c r="N141" s="211">
        <v>3</v>
      </c>
      <c r="O141" s="211">
        <f>SUM(K141:N141)</f>
        <v>12</v>
      </c>
      <c r="P141" s="1423"/>
      <c r="Q141" s="1423"/>
      <c r="R141" s="1423"/>
      <c r="S141" s="1793"/>
      <c r="T141" s="1793"/>
      <c r="U141" s="1793"/>
      <c r="V141" s="1793"/>
      <c r="W141" s="1793"/>
      <c r="X141" s="1793"/>
      <c r="Y141" s="1793"/>
      <c r="Z141" s="1793"/>
      <c r="AA141" s="1793"/>
      <c r="AB141" s="1793"/>
      <c r="AC141" s="1793"/>
      <c r="AD141" s="1793"/>
      <c r="AE141" s="1793"/>
      <c r="AF141" s="1793">
        <f t="shared" si="20"/>
        <v>0</v>
      </c>
      <c r="AG141" s="332"/>
      <c r="AH141" s="191"/>
      <c r="AI141" s="118"/>
      <c r="AJ141" s="3"/>
      <c r="AK141" s="3"/>
      <c r="AL141" s="3"/>
    </row>
    <row r="142" spans="1:38" s="1" customFormat="1" ht="45" hidden="1" x14ac:dyDescent="0.2">
      <c r="A142" s="248"/>
      <c r="B142" s="141"/>
      <c r="C142" s="1447"/>
      <c r="D142" s="41" t="s">
        <v>158</v>
      </c>
      <c r="E142" s="145"/>
      <c r="F142" s="145"/>
      <c r="G142" s="145"/>
      <c r="H142" s="145"/>
      <c r="I142" s="137" t="s">
        <v>550</v>
      </c>
      <c r="J142" s="45" t="s">
        <v>137</v>
      </c>
      <c r="K142" s="211">
        <v>3</v>
      </c>
      <c r="L142" s="211">
        <v>3</v>
      </c>
      <c r="M142" s="211">
        <v>3</v>
      </c>
      <c r="N142" s="211">
        <v>3</v>
      </c>
      <c r="O142" s="211">
        <v>12</v>
      </c>
      <c r="P142" s="183">
        <v>77000000</v>
      </c>
      <c r="Q142" s="261"/>
      <c r="R142" s="261"/>
      <c r="S142" s="355">
        <f t="shared" ref="S142:S151" si="21">SUM(P142:R142)</f>
        <v>77000000</v>
      </c>
      <c r="T142" s="355">
        <v>78000000</v>
      </c>
      <c r="U142" s="356"/>
      <c r="V142" s="350"/>
      <c r="W142" s="350">
        <f t="shared" ref="W142:W151" si="22">SUM(T142:V142)</f>
        <v>78000000</v>
      </c>
      <c r="X142" s="350">
        <v>80000000</v>
      </c>
      <c r="Y142" s="356"/>
      <c r="Z142" s="350"/>
      <c r="AA142" s="350">
        <f t="shared" ref="AA142:AA151" si="23">SUM(X142:Z142)</f>
        <v>80000000</v>
      </c>
      <c r="AB142" s="350">
        <v>85000000</v>
      </c>
      <c r="AC142" s="350"/>
      <c r="AD142" s="350"/>
      <c r="AE142" s="350">
        <f t="shared" ref="AE142:AE151" si="24">SUM(AB142:AD142)</f>
        <v>85000000</v>
      </c>
      <c r="AF142" s="350">
        <f t="shared" si="20"/>
        <v>320000000</v>
      </c>
      <c r="AG142" s="193"/>
      <c r="AH142" s="193"/>
      <c r="AI142" s="118"/>
      <c r="AJ142" s="3"/>
      <c r="AK142" s="3"/>
      <c r="AL142" s="3"/>
    </row>
    <row r="143" spans="1:38" s="1" customFormat="1" ht="33.75" hidden="1" x14ac:dyDescent="0.2">
      <c r="A143" s="248"/>
      <c r="B143" s="258"/>
      <c r="C143" s="1447"/>
      <c r="D143" s="41" t="s">
        <v>157</v>
      </c>
      <c r="E143" s="145"/>
      <c r="F143" s="145"/>
      <c r="G143" s="145"/>
      <c r="H143" s="145"/>
      <c r="I143" s="137" t="s">
        <v>551</v>
      </c>
      <c r="J143" s="45" t="s">
        <v>137</v>
      </c>
      <c r="K143" s="211">
        <v>7</v>
      </c>
      <c r="L143" s="211">
        <v>7</v>
      </c>
      <c r="M143" s="211">
        <v>7</v>
      </c>
      <c r="N143" s="211">
        <v>7</v>
      </c>
      <c r="O143" s="211">
        <v>28</v>
      </c>
      <c r="P143" s="183">
        <v>195000000</v>
      </c>
      <c r="Q143" s="261"/>
      <c r="R143" s="261"/>
      <c r="S143" s="355">
        <f t="shared" si="21"/>
        <v>195000000</v>
      </c>
      <c r="T143" s="355">
        <v>160000000</v>
      </c>
      <c r="U143" s="356"/>
      <c r="V143" s="350"/>
      <c r="W143" s="350">
        <f t="shared" si="22"/>
        <v>160000000</v>
      </c>
      <c r="X143" s="350">
        <v>164000000</v>
      </c>
      <c r="Y143" s="356"/>
      <c r="Z143" s="350"/>
      <c r="AA143" s="350">
        <f t="shared" si="23"/>
        <v>164000000</v>
      </c>
      <c r="AB143" s="350">
        <v>164000000</v>
      </c>
      <c r="AC143" s="350"/>
      <c r="AD143" s="350"/>
      <c r="AE143" s="350">
        <f t="shared" si="24"/>
        <v>164000000</v>
      </c>
      <c r="AF143" s="350">
        <f t="shared" si="20"/>
        <v>683000000</v>
      </c>
      <c r="AG143" s="193"/>
      <c r="AH143" s="193"/>
      <c r="AI143" s="118"/>
      <c r="AJ143" s="3"/>
      <c r="AK143" s="3"/>
      <c r="AL143" s="3"/>
    </row>
    <row r="144" spans="1:38" s="1" customFormat="1" ht="56.25" hidden="1" x14ac:dyDescent="0.2">
      <c r="A144" s="248"/>
      <c r="B144" s="258"/>
      <c r="C144" s="1447"/>
      <c r="D144" s="41" t="s">
        <v>553</v>
      </c>
      <c r="E144" s="145"/>
      <c r="F144" s="145"/>
      <c r="G144" s="145"/>
      <c r="H144" s="145"/>
      <c r="I144" s="137" t="s">
        <v>552</v>
      </c>
      <c r="J144" s="45" t="s">
        <v>137</v>
      </c>
      <c r="K144" s="211">
        <v>2</v>
      </c>
      <c r="L144" s="211">
        <v>2</v>
      </c>
      <c r="M144" s="211">
        <v>2</v>
      </c>
      <c r="N144" s="211">
        <v>2</v>
      </c>
      <c r="O144" s="211">
        <v>8</v>
      </c>
      <c r="P144" s="183">
        <v>40000000</v>
      </c>
      <c r="Q144" s="261"/>
      <c r="R144" s="261"/>
      <c r="S144" s="355">
        <f t="shared" si="21"/>
        <v>40000000</v>
      </c>
      <c r="T144" s="355">
        <v>45000000</v>
      </c>
      <c r="U144" s="356"/>
      <c r="V144" s="350"/>
      <c r="W144" s="350">
        <f t="shared" si="22"/>
        <v>45000000</v>
      </c>
      <c r="X144" s="350">
        <v>48000000</v>
      </c>
      <c r="Y144" s="356"/>
      <c r="Z144" s="350"/>
      <c r="AA144" s="350">
        <f t="shared" si="23"/>
        <v>48000000</v>
      </c>
      <c r="AB144" s="350">
        <v>50000000</v>
      </c>
      <c r="AC144" s="350"/>
      <c r="AD144" s="350"/>
      <c r="AE144" s="350">
        <f t="shared" si="24"/>
        <v>50000000</v>
      </c>
      <c r="AF144" s="350">
        <f t="shared" si="20"/>
        <v>183000000</v>
      </c>
      <c r="AG144" s="193"/>
      <c r="AH144" s="193"/>
      <c r="AI144" s="118"/>
      <c r="AJ144" s="3"/>
      <c r="AK144" s="3"/>
      <c r="AL144" s="3"/>
    </row>
    <row r="145" spans="1:38" s="1" customFormat="1" ht="56.25" hidden="1" x14ac:dyDescent="0.2">
      <c r="A145" s="248"/>
      <c r="B145" s="236"/>
      <c r="C145" s="1448"/>
      <c r="D145" s="41" t="s">
        <v>554</v>
      </c>
      <c r="E145" s="145"/>
      <c r="F145" s="145"/>
      <c r="G145" s="145"/>
      <c r="H145" s="145"/>
      <c r="I145" s="137" t="s">
        <v>555</v>
      </c>
      <c r="J145" s="45" t="s">
        <v>137</v>
      </c>
      <c r="K145" s="211">
        <v>1</v>
      </c>
      <c r="L145" s="211">
        <v>1</v>
      </c>
      <c r="M145" s="211">
        <v>1</v>
      </c>
      <c r="N145" s="211">
        <v>1</v>
      </c>
      <c r="O145" s="211">
        <v>1</v>
      </c>
      <c r="P145" s="183"/>
      <c r="Q145" s="261"/>
      <c r="R145" s="261"/>
      <c r="S145" s="355">
        <f t="shared" si="21"/>
        <v>0</v>
      </c>
      <c r="T145" s="355">
        <v>40000000</v>
      </c>
      <c r="U145" s="356"/>
      <c r="V145" s="350"/>
      <c r="W145" s="350">
        <f t="shared" si="22"/>
        <v>40000000</v>
      </c>
      <c r="X145" s="350">
        <v>45000000</v>
      </c>
      <c r="Y145" s="356"/>
      <c r="Z145" s="350"/>
      <c r="AA145" s="350">
        <f t="shared" si="23"/>
        <v>45000000</v>
      </c>
      <c r="AB145" s="350">
        <v>48000000</v>
      </c>
      <c r="AC145" s="350"/>
      <c r="AD145" s="350"/>
      <c r="AE145" s="350">
        <f t="shared" si="24"/>
        <v>48000000</v>
      </c>
      <c r="AF145" s="350">
        <f t="shared" si="20"/>
        <v>133000000</v>
      </c>
      <c r="AG145" s="193"/>
      <c r="AH145" s="193"/>
      <c r="AI145" s="118"/>
      <c r="AJ145" s="3"/>
      <c r="AK145" s="3"/>
      <c r="AL145" s="3"/>
    </row>
    <row r="146" spans="1:38" s="7" customFormat="1" ht="45" x14ac:dyDescent="0.2">
      <c r="A146" s="289" t="s">
        <v>605</v>
      </c>
      <c r="B146" s="289" t="s">
        <v>605</v>
      </c>
      <c r="C146" s="327"/>
      <c r="D146" s="328"/>
      <c r="E146" s="316"/>
      <c r="F146" s="316"/>
      <c r="G146" s="316"/>
      <c r="H146" s="316"/>
      <c r="I146" s="326"/>
      <c r="J146" s="329"/>
      <c r="K146" s="330"/>
      <c r="L146" s="317"/>
      <c r="M146" s="317"/>
      <c r="N146" s="317"/>
      <c r="O146" s="330"/>
      <c r="P146" s="325">
        <f>+P147+P153+P157+P161+P165+P167+P170+P175+P180</f>
        <v>1056910825</v>
      </c>
      <c r="Q146" s="325">
        <f>+Q147+Q153+Q157+Q161+Q165+Q167+Q170+Q175+Q180</f>
        <v>0</v>
      </c>
      <c r="R146" s="325">
        <f>+R147+R153+R157+R161+R165+R167+R170+R175+R180</f>
        <v>0</v>
      </c>
      <c r="S146" s="370">
        <f t="shared" si="21"/>
        <v>1056910825</v>
      </c>
      <c r="T146" s="370">
        <f>+T147+T153+T157+T161+T165+T167+T170+T175+T180</f>
        <v>1377234869</v>
      </c>
      <c r="U146" s="370">
        <f>+U147+U153+U157+U161+U165+U167+U170+U175+U180</f>
        <v>0</v>
      </c>
      <c r="V146" s="370">
        <f>+V147+V153+V157+V161+V165+V167+V170+V175+V180</f>
        <v>0</v>
      </c>
      <c r="W146" s="370">
        <f t="shared" si="22"/>
        <v>1377234869</v>
      </c>
      <c r="X146" s="370">
        <f>+X147+X153+X157+X161+X165+X167+X170+X175+X180</f>
        <v>1386277037</v>
      </c>
      <c r="Y146" s="370">
        <f>+Y147+Y153+Y157+Y161+Y165+Y167+Y170+Y175+Y180</f>
        <v>0</v>
      </c>
      <c r="Z146" s="370">
        <f>+Z147+Z153+Z157+Z161+Z165+Z167+Z170+Z175+Z180</f>
        <v>0</v>
      </c>
      <c r="AA146" s="370">
        <f t="shared" si="23"/>
        <v>1386277037</v>
      </c>
      <c r="AB146" s="370">
        <f>+AB147+AB153+AB157+AB161+AB165+AB167+AB170+AB175+AB180</f>
        <v>1597785646</v>
      </c>
      <c r="AC146" s="370">
        <f>+AC147+AC153+AC157+AC161+AC165+AC167+AC170+AC175+AC180</f>
        <v>0</v>
      </c>
      <c r="AD146" s="370">
        <f>+AD147+AD153+AD157+AD161+AD165+AD167+AD170+AD175+AD180</f>
        <v>0</v>
      </c>
      <c r="AE146" s="370">
        <f t="shared" si="24"/>
        <v>1597785646</v>
      </c>
      <c r="AF146" s="369">
        <f t="shared" si="20"/>
        <v>5418208377</v>
      </c>
      <c r="AG146" s="334">
        <f>+AF146/AF184*100</f>
        <v>9.0407178121458127</v>
      </c>
    </row>
    <row r="147" spans="1:38" s="7" customFormat="1" ht="60" customHeight="1" x14ac:dyDescent="0.2">
      <c r="A147" s="248"/>
      <c r="B147" s="128" t="s">
        <v>602</v>
      </c>
      <c r="C147" s="128"/>
      <c r="D147" s="128"/>
      <c r="E147" s="128"/>
      <c r="F147" s="128"/>
      <c r="G147" s="128"/>
      <c r="H147" s="128"/>
      <c r="I147" s="128"/>
      <c r="J147" s="165"/>
      <c r="K147" s="212"/>
      <c r="L147" s="212"/>
      <c r="M147" s="212"/>
      <c r="N147" s="212"/>
      <c r="O147" s="213"/>
      <c r="P147" s="155">
        <f>SUM(P148:P152)</f>
        <v>230000000</v>
      </c>
      <c r="Q147" s="155">
        <f>SUM(Q148:Q152)</f>
        <v>0</v>
      </c>
      <c r="R147" s="155">
        <f>SUM(R148:R152)</f>
        <v>0</v>
      </c>
      <c r="S147" s="349">
        <f t="shared" si="21"/>
        <v>230000000</v>
      </c>
      <c r="T147" s="349">
        <f>SUM(T148:T152)</f>
        <v>161700000</v>
      </c>
      <c r="U147" s="349">
        <f>SUM(U148:U152)</f>
        <v>0</v>
      </c>
      <c r="V147" s="349">
        <f>SUM(V148:V152)</f>
        <v>0</v>
      </c>
      <c r="W147" s="349">
        <f t="shared" si="22"/>
        <v>161700000</v>
      </c>
      <c r="X147" s="349">
        <f>SUM(X148:X152)</f>
        <v>163000000</v>
      </c>
      <c r="Y147" s="349">
        <f>SUM(Y148:Y152)</f>
        <v>0</v>
      </c>
      <c r="Z147" s="349">
        <f>SUM(Z148:Z152)</f>
        <v>0</v>
      </c>
      <c r="AA147" s="349">
        <f t="shared" si="23"/>
        <v>163000000</v>
      </c>
      <c r="AB147" s="349">
        <f>SUM(AB148:AB152)</f>
        <v>165000000</v>
      </c>
      <c r="AC147" s="349">
        <f>SUM(AC148:AC152)</f>
        <v>0</v>
      </c>
      <c r="AD147" s="349">
        <f>SUM(AD148:AD152)</f>
        <v>0</v>
      </c>
      <c r="AE147" s="349">
        <f t="shared" si="24"/>
        <v>165000000</v>
      </c>
      <c r="AF147" s="349">
        <f t="shared" si="20"/>
        <v>719700000</v>
      </c>
      <c r="AG147" s="198"/>
      <c r="AH147" s="193">
        <f>SUM(AF148:AF152)</f>
        <v>719700000</v>
      </c>
      <c r="AI147" s="238">
        <v>10000000</v>
      </c>
    </row>
    <row r="148" spans="1:38" ht="22.5" hidden="1" x14ac:dyDescent="0.2">
      <c r="A148" s="248"/>
      <c r="B148" s="1565"/>
      <c r="C148" s="1568" t="s">
        <v>421</v>
      </c>
      <c r="D148" s="41" t="s">
        <v>365</v>
      </c>
      <c r="E148" s="52"/>
      <c r="F148" s="52"/>
      <c r="G148" s="52"/>
      <c r="H148" s="52"/>
      <c r="I148" s="41" t="s">
        <v>366</v>
      </c>
      <c r="J148" s="167" t="s">
        <v>137</v>
      </c>
      <c r="K148" s="214">
        <v>1</v>
      </c>
      <c r="L148" s="214">
        <v>0</v>
      </c>
      <c r="M148" s="214">
        <v>0</v>
      </c>
      <c r="N148" s="214">
        <v>0</v>
      </c>
      <c r="O148" s="211">
        <f>SUM(K148:N148)</f>
        <v>1</v>
      </c>
      <c r="P148" s="25">
        <v>120000000</v>
      </c>
      <c r="Q148" s="162"/>
      <c r="R148" s="261"/>
      <c r="S148" s="350">
        <f t="shared" si="21"/>
        <v>120000000</v>
      </c>
      <c r="T148" s="350"/>
      <c r="U148" s="350"/>
      <c r="V148" s="350"/>
      <c r="W148" s="350">
        <f t="shared" si="22"/>
        <v>0</v>
      </c>
      <c r="X148" s="350">
        <v>0</v>
      </c>
      <c r="Y148" s="350"/>
      <c r="Z148" s="350"/>
      <c r="AA148" s="350">
        <f t="shared" si="23"/>
        <v>0</v>
      </c>
      <c r="AB148" s="350">
        <v>0</v>
      </c>
      <c r="AC148" s="350"/>
      <c r="AD148" s="350"/>
      <c r="AE148" s="350">
        <f t="shared" si="24"/>
        <v>0</v>
      </c>
      <c r="AF148" s="350">
        <f t="shared" si="20"/>
        <v>120000000</v>
      </c>
      <c r="AG148" s="193"/>
    </row>
    <row r="149" spans="1:38" ht="33.75" hidden="1" x14ac:dyDescent="0.2">
      <c r="A149" s="248"/>
      <c r="B149" s="1566"/>
      <c r="C149" s="1569"/>
      <c r="D149" s="41" t="s">
        <v>367</v>
      </c>
      <c r="E149" s="52"/>
      <c r="F149" s="52"/>
      <c r="G149" s="52"/>
      <c r="H149" s="52"/>
      <c r="I149" s="41" t="s">
        <v>392</v>
      </c>
      <c r="J149" s="167" t="s">
        <v>137</v>
      </c>
      <c r="K149" s="214">
        <v>5</v>
      </c>
      <c r="L149" s="214">
        <v>8</v>
      </c>
      <c r="M149" s="214">
        <v>8</v>
      </c>
      <c r="N149" s="214">
        <v>8</v>
      </c>
      <c r="O149" s="211">
        <f>SUM(K149:N149)</f>
        <v>29</v>
      </c>
      <c r="P149" s="25"/>
      <c r="Q149" s="122"/>
      <c r="R149" s="25"/>
      <c r="S149" s="350">
        <f t="shared" si="21"/>
        <v>0</v>
      </c>
      <c r="T149" s="350">
        <v>50000000</v>
      </c>
      <c r="U149" s="356"/>
      <c r="V149" s="359"/>
      <c r="W149" s="350">
        <f t="shared" si="22"/>
        <v>50000000</v>
      </c>
      <c r="X149" s="350">
        <v>50000000</v>
      </c>
      <c r="Y149" s="350"/>
      <c r="Z149" s="350"/>
      <c r="AA149" s="350">
        <f t="shared" si="23"/>
        <v>50000000</v>
      </c>
      <c r="AB149" s="350">
        <v>50000000</v>
      </c>
      <c r="AC149" s="350"/>
      <c r="AD149" s="350"/>
      <c r="AE149" s="350">
        <f t="shared" si="24"/>
        <v>50000000</v>
      </c>
      <c r="AF149" s="350">
        <f t="shared" si="20"/>
        <v>150000000</v>
      </c>
      <c r="AG149" s="193"/>
    </row>
    <row r="150" spans="1:38" ht="22.5" hidden="1" x14ac:dyDescent="0.2">
      <c r="A150" s="248"/>
      <c r="B150" s="1566"/>
      <c r="C150" s="1569"/>
      <c r="D150" s="41" t="s">
        <v>429</v>
      </c>
      <c r="E150" s="52"/>
      <c r="F150" s="52"/>
      <c r="G150" s="52"/>
      <c r="H150" s="52"/>
      <c r="I150" s="41" t="s">
        <v>368</v>
      </c>
      <c r="J150" s="167" t="s">
        <v>137</v>
      </c>
      <c r="K150" s="214">
        <v>1</v>
      </c>
      <c r="L150" s="214">
        <v>1</v>
      </c>
      <c r="M150" s="214">
        <v>1</v>
      </c>
      <c r="N150" s="214">
        <v>1</v>
      </c>
      <c r="O150" s="215">
        <v>1</v>
      </c>
      <c r="P150" s="183">
        <v>85000000</v>
      </c>
      <c r="Q150" s="25"/>
      <c r="R150" s="25"/>
      <c r="S150" s="350">
        <f t="shared" si="21"/>
        <v>85000000</v>
      </c>
      <c r="T150" s="350">
        <f>+ROUND(P150*0.02,0)+P150</f>
        <v>86700000</v>
      </c>
      <c r="U150" s="350"/>
      <c r="V150" s="350"/>
      <c r="W150" s="350">
        <f t="shared" si="22"/>
        <v>86700000</v>
      </c>
      <c r="X150" s="350">
        <v>88000000</v>
      </c>
      <c r="Y150" s="350"/>
      <c r="Z150" s="350"/>
      <c r="AA150" s="350">
        <f t="shared" si="23"/>
        <v>88000000</v>
      </c>
      <c r="AB150" s="350">
        <v>90000000</v>
      </c>
      <c r="AC150" s="350"/>
      <c r="AD150" s="350"/>
      <c r="AE150" s="350">
        <f t="shared" si="24"/>
        <v>90000000</v>
      </c>
      <c r="AF150" s="350">
        <f t="shared" si="20"/>
        <v>349700000</v>
      </c>
      <c r="AG150" s="11"/>
    </row>
    <row r="151" spans="1:38" ht="21.6" hidden="1" customHeight="1" x14ac:dyDescent="0.2">
      <c r="A151" s="248"/>
      <c r="B151" s="1566"/>
      <c r="C151" s="1569"/>
      <c r="D151" s="1689" t="s">
        <v>493</v>
      </c>
      <c r="E151" s="52"/>
      <c r="F151" s="52"/>
      <c r="G151" s="52"/>
      <c r="H151" s="52"/>
      <c r="I151" s="41" t="s">
        <v>431</v>
      </c>
      <c r="J151" s="167" t="s">
        <v>137</v>
      </c>
      <c r="K151" s="214">
        <v>1</v>
      </c>
      <c r="L151" s="214"/>
      <c r="M151" s="214"/>
      <c r="N151" s="214"/>
      <c r="O151" s="211">
        <f>SUM(K151:N151)</f>
        <v>1</v>
      </c>
      <c r="P151" s="1529">
        <v>25000000</v>
      </c>
      <c r="Q151" s="1529"/>
      <c r="R151" s="1529"/>
      <c r="S151" s="1791">
        <f t="shared" si="21"/>
        <v>25000000</v>
      </c>
      <c r="T151" s="1791">
        <v>25000000</v>
      </c>
      <c r="U151" s="1791"/>
      <c r="V151" s="1791"/>
      <c r="W151" s="1791">
        <f t="shared" si="22"/>
        <v>25000000</v>
      </c>
      <c r="X151" s="1791">
        <v>25000000</v>
      </c>
      <c r="Y151" s="1791"/>
      <c r="Z151" s="1791"/>
      <c r="AA151" s="1791">
        <f t="shared" si="23"/>
        <v>25000000</v>
      </c>
      <c r="AB151" s="1791">
        <v>25000000</v>
      </c>
      <c r="AC151" s="1791"/>
      <c r="AD151" s="1791"/>
      <c r="AE151" s="1791">
        <f t="shared" si="24"/>
        <v>25000000</v>
      </c>
      <c r="AF151" s="1791">
        <f t="shared" si="20"/>
        <v>100000000</v>
      </c>
      <c r="AG151" s="193"/>
    </row>
    <row r="152" spans="1:38" ht="33" hidden="1" customHeight="1" x14ac:dyDescent="0.2">
      <c r="A152" s="248"/>
      <c r="B152" s="1567"/>
      <c r="C152" s="1570"/>
      <c r="D152" s="1801"/>
      <c r="E152" s="52"/>
      <c r="F152" s="52"/>
      <c r="G152" s="52"/>
      <c r="H152" s="52"/>
      <c r="I152" s="41" t="s">
        <v>432</v>
      </c>
      <c r="J152" s="259" t="s">
        <v>137</v>
      </c>
      <c r="K152" s="214"/>
      <c r="L152" s="214">
        <v>1</v>
      </c>
      <c r="M152" s="214">
        <v>1</v>
      </c>
      <c r="N152" s="214">
        <v>1</v>
      </c>
      <c r="O152" s="211">
        <f>SUM(K152:N152)</f>
        <v>3</v>
      </c>
      <c r="P152" s="1531"/>
      <c r="Q152" s="1531"/>
      <c r="R152" s="1531"/>
      <c r="S152" s="1793"/>
      <c r="T152" s="1793"/>
      <c r="U152" s="1793"/>
      <c r="V152" s="1793"/>
      <c r="W152" s="1793"/>
      <c r="X152" s="1793"/>
      <c r="Y152" s="1793"/>
      <c r="Z152" s="1793"/>
      <c r="AA152" s="1793"/>
      <c r="AB152" s="1793"/>
      <c r="AC152" s="1793"/>
      <c r="AD152" s="1793"/>
      <c r="AE152" s="1793"/>
      <c r="AF152" s="1793">
        <f t="shared" si="20"/>
        <v>0</v>
      </c>
      <c r="AG152" s="193"/>
    </row>
    <row r="153" spans="1:38" s="7" customFormat="1" ht="45" customHeight="1" x14ac:dyDescent="0.2">
      <c r="A153" s="248"/>
      <c r="B153" s="128" t="s">
        <v>25</v>
      </c>
      <c r="C153" s="128"/>
      <c r="D153" s="128"/>
      <c r="E153" s="128"/>
      <c r="F153" s="128"/>
      <c r="G153" s="128"/>
      <c r="H153" s="128"/>
      <c r="I153" s="158"/>
      <c r="J153" s="168"/>
      <c r="K153" s="212"/>
      <c r="L153" s="212"/>
      <c r="M153" s="212"/>
      <c r="N153" s="212"/>
      <c r="O153" s="213"/>
      <c r="P153" s="155">
        <f>SUM(P154:P156)</f>
        <v>134432040</v>
      </c>
      <c r="Q153" s="155">
        <f>SUM(Q154:Q156)</f>
        <v>0</v>
      </c>
      <c r="R153" s="155">
        <f>SUM(R154:R156)</f>
        <v>0</v>
      </c>
      <c r="S153" s="349">
        <f t="shared" ref="S153:S176" si="25">SUM(P153:R153)</f>
        <v>134432040</v>
      </c>
      <c r="T153" s="349">
        <f>SUM(T154:T156)</f>
        <v>186000000</v>
      </c>
      <c r="U153" s="349">
        <f>SUM(U154:U156)</f>
        <v>0</v>
      </c>
      <c r="V153" s="349">
        <f>SUM(V154:V156)</f>
        <v>0</v>
      </c>
      <c r="W153" s="349">
        <f t="shared" ref="W153:W176" si="26">SUM(T153:V153)</f>
        <v>186000000</v>
      </c>
      <c r="X153" s="349">
        <f>SUM(X154:X156)</f>
        <v>224000000</v>
      </c>
      <c r="Y153" s="349">
        <f>SUM(Y154:Y156)</f>
        <v>0</v>
      </c>
      <c r="Z153" s="349">
        <f>SUM(Z154:Z156)</f>
        <v>0</v>
      </c>
      <c r="AA153" s="349">
        <f t="shared" ref="AA153:AA176" si="27">SUM(X153:Z153)</f>
        <v>224000000</v>
      </c>
      <c r="AB153" s="349">
        <f>SUM(AB154:AB156)</f>
        <v>241000000</v>
      </c>
      <c r="AC153" s="349">
        <f>SUM(AC154:AC156)</f>
        <v>0</v>
      </c>
      <c r="AD153" s="349">
        <f>SUM(AD154:AD156)</f>
        <v>0</v>
      </c>
      <c r="AE153" s="349">
        <f t="shared" ref="AE153:AE176" si="28">SUM(AB153:AD153)</f>
        <v>241000000</v>
      </c>
      <c r="AF153" s="349">
        <f t="shared" si="20"/>
        <v>785432040</v>
      </c>
      <c r="AG153" s="198"/>
      <c r="AH153" s="193">
        <f>SUM(AF154:AF156)</f>
        <v>785432040</v>
      </c>
      <c r="AI153" s="238">
        <v>125000000</v>
      </c>
    </row>
    <row r="154" spans="1:38" ht="32.25" hidden="1" customHeight="1" x14ac:dyDescent="0.2">
      <c r="A154" s="248"/>
      <c r="B154" s="1565"/>
      <c r="C154" s="1568" t="s">
        <v>421</v>
      </c>
      <c r="D154" s="42" t="s">
        <v>397</v>
      </c>
      <c r="E154" s="42"/>
      <c r="F154" s="42"/>
      <c r="G154" s="42"/>
      <c r="H154" s="157"/>
      <c r="I154" s="159" t="s">
        <v>398</v>
      </c>
      <c r="J154" s="169" t="s">
        <v>394</v>
      </c>
      <c r="K154" s="216">
        <v>1</v>
      </c>
      <c r="L154" s="214">
        <v>1</v>
      </c>
      <c r="M154" s="214">
        <v>1</v>
      </c>
      <c r="N154" s="214">
        <v>1</v>
      </c>
      <c r="O154" s="211">
        <v>1</v>
      </c>
      <c r="P154" s="183">
        <v>62037176</v>
      </c>
      <c r="Q154" s="162"/>
      <c r="R154" s="261"/>
      <c r="S154" s="350">
        <f t="shared" si="25"/>
        <v>62037176</v>
      </c>
      <c r="T154" s="358">
        <v>63000000</v>
      </c>
      <c r="U154" s="350"/>
      <c r="V154" s="350"/>
      <c r="W154" s="350">
        <f t="shared" si="26"/>
        <v>63000000</v>
      </c>
      <c r="X154" s="350">
        <v>64000000</v>
      </c>
      <c r="Y154" s="350"/>
      <c r="Z154" s="350"/>
      <c r="AA154" s="350">
        <f t="shared" si="27"/>
        <v>64000000</v>
      </c>
      <c r="AB154" s="350">
        <v>65000000</v>
      </c>
      <c r="AC154" s="350"/>
      <c r="AD154" s="350"/>
      <c r="AE154" s="350">
        <f t="shared" si="28"/>
        <v>65000000</v>
      </c>
      <c r="AF154" s="350">
        <f t="shared" si="20"/>
        <v>254037176</v>
      </c>
      <c r="AG154" s="193"/>
    </row>
    <row r="155" spans="1:38" ht="18" hidden="1" customHeight="1" x14ac:dyDescent="0.2">
      <c r="A155" s="248"/>
      <c r="B155" s="1566"/>
      <c r="C155" s="1569"/>
      <c r="D155" s="41" t="s">
        <v>395</v>
      </c>
      <c r="E155" s="41"/>
      <c r="F155" s="41"/>
      <c r="G155" s="41"/>
      <c r="H155" s="41"/>
      <c r="I155" s="236" t="s">
        <v>396</v>
      </c>
      <c r="J155" s="262" t="s">
        <v>137</v>
      </c>
      <c r="K155" s="214">
        <v>1</v>
      </c>
      <c r="L155" s="214">
        <v>1</v>
      </c>
      <c r="M155" s="214">
        <v>1</v>
      </c>
      <c r="N155" s="214">
        <v>1</v>
      </c>
      <c r="O155" s="211">
        <v>1</v>
      </c>
      <c r="P155" s="183">
        <v>72394864</v>
      </c>
      <c r="Q155" s="189"/>
      <c r="R155" s="265"/>
      <c r="S155" s="350">
        <f t="shared" si="25"/>
        <v>72394864</v>
      </c>
      <c r="T155" s="350">
        <f>73000000+50000000</f>
        <v>123000000</v>
      </c>
      <c r="U155" s="350"/>
      <c r="V155" s="350"/>
      <c r="W155" s="350">
        <f t="shared" si="26"/>
        <v>123000000</v>
      </c>
      <c r="X155" s="350">
        <f>75000000+40000000</f>
        <v>115000000</v>
      </c>
      <c r="Y155" s="350"/>
      <c r="Z155" s="350"/>
      <c r="AA155" s="350">
        <f t="shared" si="27"/>
        <v>115000000</v>
      </c>
      <c r="AB155" s="350">
        <f>76000000+50000000</f>
        <v>126000000</v>
      </c>
      <c r="AC155" s="350"/>
      <c r="AD155" s="350"/>
      <c r="AE155" s="350">
        <f t="shared" si="28"/>
        <v>126000000</v>
      </c>
      <c r="AF155" s="350">
        <f t="shared" si="20"/>
        <v>436394864</v>
      </c>
      <c r="AG155" s="193"/>
      <c r="AJ155" s="120"/>
    </row>
    <row r="156" spans="1:38" ht="31.7" hidden="1" customHeight="1" x14ac:dyDescent="0.2">
      <c r="A156" s="248"/>
      <c r="B156" s="1567"/>
      <c r="C156" s="1570"/>
      <c r="D156" s="41" t="s">
        <v>430</v>
      </c>
      <c r="E156" s="41"/>
      <c r="F156" s="41"/>
      <c r="G156" s="41"/>
      <c r="H156" s="41"/>
      <c r="I156" s="41" t="s">
        <v>393</v>
      </c>
      <c r="J156" s="284" t="s">
        <v>147</v>
      </c>
      <c r="K156" s="214"/>
      <c r="L156" s="214"/>
      <c r="M156" s="214">
        <v>50</v>
      </c>
      <c r="N156" s="214">
        <v>50</v>
      </c>
      <c r="O156" s="211">
        <f>SUM(K156:N156)</f>
        <v>100</v>
      </c>
      <c r="P156" s="183"/>
      <c r="Q156" s="189"/>
      <c r="R156" s="265"/>
      <c r="S156" s="350">
        <f t="shared" si="25"/>
        <v>0</v>
      </c>
      <c r="T156" s="350"/>
      <c r="U156" s="350"/>
      <c r="V156" s="350"/>
      <c r="W156" s="350">
        <f t="shared" si="26"/>
        <v>0</v>
      </c>
      <c r="X156" s="350">
        <v>45000000</v>
      </c>
      <c r="Y156" s="350"/>
      <c r="Z156" s="350"/>
      <c r="AA156" s="350">
        <f t="shared" si="27"/>
        <v>45000000</v>
      </c>
      <c r="AB156" s="350">
        <v>50000000</v>
      </c>
      <c r="AC156" s="350"/>
      <c r="AD156" s="350"/>
      <c r="AE156" s="350">
        <f t="shared" si="28"/>
        <v>50000000</v>
      </c>
      <c r="AF156" s="350">
        <f t="shared" si="20"/>
        <v>95000000</v>
      </c>
      <c r="AG156" s="193"/>
    </row>
    <row r="157" spans="1:38" s="7" customFormat="1" ht="45" customHeight="1" x14ac:dyDescent="0.2">
      <c r="A157" s="248"/>
      <c r="B157" s="128" t="s">
        <v>101</v>
      </c>
      <c r="C157" s="128"/>
      <c r="D157" s="19"/>
      <c r="E157" s="139"/>
      <c r="F157" s="139"/>
      <c r="G157" s="139"/>
      <c r="H157" s="139"/>
      <c r="I157" s="139"/>
      <c r="J157" s="172"/>
      <c r="K157" s="213"/>
      <c r="L157" s="213"/>
      <c r="M157" s="213"/>
      <c r="N157" s="213"/>
      <c r="O157" s="213"/>
      <c r="P157" s="155">
        <f>+P158</f>
        <v>76881726</v>
      </c>
      <c r="Q157" s="155">
        <f>+Q158</f>
        <v>0</v>
      </c>
      <c r="R157" s="155">
        <f>+R158</f>
        <v>0</v>
      </c>
      <c r="S157" s="349">
        <f t="shared" si="25"/>
        <v>76881726</v>
      </c>
      <c r="T157" s="349">
        <f>+T158</f>
        <v>79088760</v>
      </c>
      <c r="U157" s="349">
        <f>+U158</f>
        <v>0</v>
      </c>
      <c r="V157" s="349">
        <f>+V158</f>
        <v>0</v>
      </c>
      <c r="W157" s="349">
        <f t="shared" si="26"/>
        <v>79088760</v>
      </c>
      <c r="X157" s="349">
        <f>+X158</f>
        <v>83043198</v>
      </c>
      <c r="Y157" s="349">
        <f>+Y158</f>
        <v>0</v>
      </c>
      <c r="Z157" s="349">
        <f>+Z158</f>
        <v>0</v>
      </c>
      <c r="AA157" s="349">
        <f t="shared" si="27"/>
        <v>83043198</v>
      </c>
      <c r="AB157" s="349">
        <f>+AB158</f>
        <v>87195357</v>
      </c>
      <c r="AC157" s="349">
        <f>+AC158</f>
        <v>0</v>
      </c>
      <c r="AD157" s="349">
        <f>+AD158</f>
        <v>0</v>
      </c>
      <c r="AE157" s="349">
        <f t="shared" si="28"/>
        <v>87195357</v>
      </c>
      <c r="AF157" s="349">
        <f t="shared" si="20"/>
        <v>326209041</v>
      </c>
      <c r="AG157" s="198"/>
      <c r="AH157" s="193">
        <f>+AF158</f>
        <v>326209041</v>
      </c>
      <c r="AI157" s="238"/>
    </row>
    <row r="158" spans="1:38" ht="22.5" hidden="1" x14ac:dyDescent="0.2">
      <c r="A158" s="248"/>
      <c r="B158" s="1565"/>
      <c r="C158" s="1568" t="s">
        <v>421</v>
      </c>
      <c r="D158" s="1689" t="s">
        <v>153</v>
      </c>
      <c r="E158" s="145"/>
      <c r="F158" s="145"/>
      <c r="G158" s="145"/>
      <c r="H158" s="145"/>
      <c r="I158" s="41" t="s">
        <v>178</v>
      </c>
      <c r="J158" s="167" t="s">
        <v>147</v>
      </c>
      <c r="K158" s="214">
        <v>82</v>
      </c>
      <c r="L158" s="214">
        <v>82</v>
      </c>
      <c r="M158" s="214">
        <v>82</v>
      </c>
      <c r="N158" s="214">
        <v>82</v>
      </c>
      <c r="O158" s="217">
        <v>82</v>
      </c>
      <c r="P158" s="1529">
        <v>76881726</v>
      </c>
      <c r="Q158" s="1529"/>
      <c r="R158" s="1529"/>
      <c r="S158" s="1791">
        <f t="shared" si="25"/>
        <v>76881726</v>
      </c>
      <c r="T158" s="1791">
        <v>79088760</v>
      </c>
      <c r="U158" s="1797"/>
      <c r="V158" s="1797"/>
      <c r="W158" s="1791">
        <f t="shared" si="26"/>
        <v>79088760</v>
      </c>
      <c r="X158" s="1791">
        <v>83043198</v>
      </c>
      <c r="Y158" s="359"/>
      <c r="Z158" s="1800"/>
      <c r="AA158" s="1791">
        <f t="shared" si="27"/>
        <v>83043198</v>
      </c>
      <c r="AB158" s="1791">
        <v>87195357</v>
      </c>
      <c r="AC158" s="359"/>
      <c r="AD158" s="1800"/>
      <c r="AE158" s="1791">
        <f t="shared" si="28"/>
        <v>87195357</v>
      </c>
      <c r="AF158" s="1790">
        <f t="shared" si="20"/>
        <v>326209041</v>
      </c>
      <c r="AG158" s="193"/>
    </row>
    <row r="159" spans="1:38" ht="22.5" hidden="1" x14ac:dyDescent="0.2">
      <c r="A159" s="248"/>
      <c r="B159" s="1566"/>
      <c r="C159" s="1569"/>
      <c r="D159" s="1778"/>
      <c r="E159" s="145"/>
      <c r="F159" s="145"/>
      <c r="G159" s="145"/>
      <c r="H159" s="145"/>
      <c r="I159" s="41" t="s">
        <v>179</v>
      </c>
      <c r="J159" s="167" t="s">
        <v>147</v>
      </c>
      <c r="K159" s="214">
        <v>85</v>
      </c>
      <c r="L159" s="214">
        <v>85</v>
      </c>
      <c r="M159" s="214">
        <v>85</v>
      </c>
      <c r="N159" s="214">
        <v>85</v>
      </c>
      <c r="O159" s="217">
        <v>85</v>
      </c>
      <c r="P159" s="1530"/>
      <c r="Q159" s="1530"/>
      <c r="R159" s="1530"/>
      <c r="S159" s="1792">
        <f t="shared" si="25"/>
        <v>0</v>
      </c>
      <c r="T159" s="1792"/>
      <c r="U159" s="1798"/>
      <c r="V159" s="1798"/>
      <c r="W159" s="1792">
        <f t="shared" si="26"/>
        <v>0</v>
      </c>
      <c r="X159" s="1792"/>
      <c r="Y159" s="359"/>
      <c r="Z159" s="1800"/>
      <c r="AA159" s="1792">
        <f t="shared" si="27"/>
        <v>0</v>
      </c>
      <c r="AB159" s="1792"/>
      <c r="AC159" s="359"/>
      <c r="AD159" s="1800"/>
      <c r="AE159" s="1792">
        <f t="shared" si="28"/>
        <v>0</v>
      </c>
      <c r="AF159" s="1790">
        <f t="shared" si="20"/>
        <v>0</v>
      </c>
      <c r="AG159" s="193"/>
    </row>
    <row r="160" spans="1:38" ht="22.5" hidden="1" x14ac:dyDescent="0.2">
      <c r="A160" s="248"/>
      <c r="B160" s="1567"/>
      <c r="C160" s="1570"/>
      <c r="D160" s="1779"/>
      <c r="E160" s="145"/>
      <c r="F160" s="145"/>
      <c r="G160" s="145"/>
      <c r="H160" s="145"/>
      <c r="I160" s="41" t="s">
        <v>180</v>
      </c>
      <c r="J160" s="167" t="s">
        <v>147</v>
      </c>
      <c r="K160" s="214">
        <v>100</v>
      </c>
      <c r="L160" s="214">
        <v>100</v>
      </c>
      <c r="M160" s="214">
        <v>100</v>
      </c>
      <c r="N160" s="214">
        <v>100</v>
      </c>
      <c r="O160" s="217">
        <v>100</v>
      </c>
      <c r="P160" s="1531"/>
      <c r="Q160" s="1531"/>
      <c r="R160" s="1531"/>
      <c r="S160" s="1793">
        <f t="shared" si="25"/>
        <v>0</v>
      </c>
      <c r="T160" s="1793"/>
      <c r="U160" s="1799"/>
      <c r="V160" s="1799"/>
      <c r="W160" s="1793">
        <f t="shared" si="26"/>
        <v>0</v>
      </c>
      <c r="X160" s="1793"/>
      <c r="Y160" s="359"/>
      <c r="Z160" s="1800"/>
      <c r="AA160" s="1793">
        <f t="shared" si="27"/>
        <v>0</v>
      </c>
      <c r="AB160" s="1793"/>
      <c r="AC160" s="359"/>
      <c r="AD160" s="1800"/>
      <c r="AE160" s="1793">
        <f t="shared" si="28"/>
        <v>0</v>
      </c>
      <c r="AF160" s="1790">
        <f t="shared" si="20"/>
        <v>0</v>
      </c>
      <c r="AG160" s="193"/>
    </row>
    <row r="161" spans="1:35" s="7" customFormat="1" ht="45" customHeight="1" x14ac:dyDescent="0.2">
      <c r="A161" s="248"/>
      <c r="B161" s="128" t="s">
        <v>103</v>
      </c>
      <c r="C161" s="128"/>
      <c r="D161" s="150"/>
      <c r="E161" s="139"/>
      <c r="F161" s="139"/>
      <c r="G161" s="139"/>
      <c r="H161" s="139"/>
      <c r="I161" s="139"/>
      <c r="J161" s="172"/>
      <c r="K161" s="213"/>
      <c r="L161" s="213"/>
      <c r="M161" s="213"/>
      <c r="N161" s="213"/>
      <c r="O161" s="213"/>
      <c r="P161" s="155">
        <f>+P162</f>
        <v>165597059</v>
      </c>
      <c r="Q161" s="155">
        <f>+Q162</f>
        <v>0</v>
      </c>
      <c r="R161" s="155">
        <f>+R162</f>
        <v>0</v>
      </c>
      <c r="S161" s="349">
        <f t="shared" si="25"/>
        <v>165597059</v>
      </c>
      <c r="T161" s="349">
        <f>+T162</f>
        <v>168909000</v>
      </c>
      <c r="U161" s="349">
        <f>+U162</f>
        <v>0</v>
      </c>
      <c r="V161" s="349">
        <f>+V162</f>
        <v>0</v>
      </c>
      <c r="W161" s="349">
        <f t="shared" si="26"/>
        <v>168909000</v>
      </c>
      <c r="X161" s="349">
        <f>+X162</f>
        <v>172287180</v>
      </c>
      <c r="Y161" s="349">
        <f>+Y162</f>
        <v>0</v>
      </c>
      <c r="Z161" s="349">
        <f>+Z162</f>
        <v>0</v>
      </c>
      <c r="AA161" s="349">
        <f t="shared" si="27"/>
        <v>172287180</v>
      </c>
      <c r="AB161" s="349">
        <f>+AB162</f>
        <v>175732924</v>
      </c>
      <c r="AC161" s="349">
        <f>+AC162</f>
        <v>0</v>
      </c>
      <c r="AD161" s="349">
        <f>+AD162</f>
        <v>0</v>
      </c>
      <c r="AE161" s="349">
        <f t="shared" si="28"/>
        <v>175732924</v>
      </c>
      <c r="AF161" s="349">
        <f t="shared" si="20"/>
        <v>682526163</v>
      </c>
      <c r="AG161" s="198"/>
      <c r="AH161" s="193">
        <f>+AF162</f>
        <v>682526163</v>
      </c>
      <c r="AI161" s="238"/>
    </row>
    <row r="162" spans="1:35" ht="22.5" hidden="1" x14ac:dyDescent="0.2">
      <c r="A162" s="248"/>
      <c r="B162" s="1563"/>
      <c r="C162" s="1568" t="s">
        <v>421</v>
      </c>
      <c r="D162" s="41" t="s">
        <v>181</v>
      </c>
      <c r="E162" s="145"/>
      <c r="F162" s="145"/>
      <c r="G162" s="145"/>
      <c r="H162" s="145"/>
      <c r="I162" s="41" t="s">
        <v>182</v>
      </c>
      <c r="J162" s="167" t="s">
        <v>147</v>
      </c>
      <c r="K162" s="214">
        <v>100</v>
      </c>
      <c r="L162" s="214">
        <v>100</v>
      </c>
      <c r="M162" s="214">
        <v>100</v>
      </c>
      <c r="N162" s="214">
        <v>100</v>
      </c>
      <c r="O162" s="217">
        <v>100</v>
      </c>
      <c r="P162" s="1529">
        <v>165597059</v>
      </c>
      <c r="Q162" s="1529"/>
      <c r="R162" s="1529"/>
      <c r="S162" s="1791">
        <f t="shared" si="25"/>
        <v>165597059</v>
      </c>
      <c r="T162" s="1767">
        <f>+ROUND(P162*0.02,0)+P162</f>
        <v>168909000</v>
      </c>
      <c r="U162" s="1794"/>
      <c r="V162" s="1794"/>
      <c r="W162" s="1767">
        <f t="shared" si="26"/>
        <v>168909000</v>
      </c>
      <c r="X162" s="1767">
        <f>+ROUND(T162*0.02,0)+T162</f>
        <v>172287180</v>
      </c>
      <c r="Y162" s="1790"/>
      <c r="Z162" s="1790"/>
      <c r="AA162" s="1790">
        <f t="shared" si="27"/>
        <v>172287180</v>
      </c>
      <c r="AB162" s="1767">
        <f>+ROUND(X162*0.02,0)+X162</f>
        <v>175732924</v>
      </c>
      <c r="AC162" s="1767"/>
      <c r="AD162" s="1767"/>
      <c r="AE162" s="1767">
        <f t="shared" si="28"/>
        <v>175732924</v>
      </c>
      <c r="AF162" s="1767">
        <f t="shared" si="20"/>
        <v>682526163</v>
      </c>
      <c r="AG162" s="193"/>
    </row>
    <row r="163" spans="1:35" ht="22.5" hidden="1" x14ac:dyDescent="0.2">
      <c r="A163" s="248"/>
      <c r="B163" s="1783"/>
      <c r="C163" s="1569"/>
      <c r="D163" s="41" t="s">
        <v>185</v>
      </c>
      <c r="E163" s="145"/>
      <c r="F163" s="145"/>
      <c r="G163" s="145"/>
      <c r="H163" s="145"/>
      <c r="I163" s="41" t="s">
        <v>183</v>
      </c>
      <c r="J163" s="167" t="s">
        <v>147</v>
      </c>
      <c r="K163" s="214">
        <v>90</v>
      </c>
      <c r="L163" s="214">
        <v>90</v>
      </c>
      <c r="M163" s="214">
        <v>95</v>
      </c>
      <c r="N163" s="214">
        <v>95</v>
      </c>
      <c r="O163" s="217" t="s">
        <v>168</v>
      </c>
      <c r="P163" s="1530"/>
      <c r="Q163" s="1530"/>
      <c r="R163" s="1530"/>
      <c r="S163" s="1792">
        <f t="shared" si="25"/>
        <v>0</v>
      </c>
      <c r="T163" s="1768"/>
      <c r="U163" s="1795"/>
      <c r="V163" s="1795"/>
      <c r="W163" s="1768">
        <f t="shared" si="26"/>
        <v>0</v>
      </c>
      <c r="X163" s="1768"/>
      <c r="Y163" s="1790"/>
      <c r="Z163" s="1790"/>
      <c r="AA163" s="1790">
        <f t="shared" si="27"/>
        <v>0</v>
      </c>
      <c r="AB163" s="1768"/>
      <c r="AC163" s="1768"/>
      <c r="AD163" s="1768"/>
      <c r="AE163" s="1768">
        <f t="shared" si="28"/>
        <v>0</v>
      </c>
      <c r="AF163" s="1768">
        <f t="shared" si="20"/>
        <v>0</v>
      </c>
      <c r="AG163" s="193"/>
    </row>
    <row r="164" spans="1:35" ht="22.5" hidden="1" x14ac:dyDescent="0.2">
      <c r="A164" s="248"/>
      <c r="B164" s="1564"/>
      <c r="C164" s="1570"/>
      <c r="D164" s="41" t="s">
        <v>186</v>
      </c>
      <c r="E164" s="145"/>
      <c r="F164" s="145"/>
      <c r="G164" s="145"/>
      <c r="H164" s="145"/>
      <c r="I164" s="41" t="s">
        <v>184</v>
      </c>
      <c r="J164" s="167" t="s">
        <v>147</v>
      </c>
      <c r="K164" s="214">
        <v>90</v>
      </c>
      <c r="L164" s="214">
        <v>90</v>
      </c>
      <c r="M164" s="214">
        <v>90</v>
      </c>
      <c r="N164" s="214">
        <v>90</v>
      </c>
      <c r="O164" s="217">
        <v>90</v>
      </c>
      <c r="P164" s="1531"/>
      <c r="Q164" s="1531"/>
      <c r="R164" s="1531"/>
      <c r="S164" s="1793">
        <f t="shared" si="25"/>
        <v>0</v>
      </c>
      <c r="T164" s="1769"/>
      <c r="U164" s="1796"/>
      <c r="V164" s="1796"/>
      <c r="W164" s="1769">
        <f t="shared" si="26"/>
        <v>0</v>
      </c>
      <c r="X164" s="1769"/>
      <c r="Y164" s="1790"/>
      <c r="Z164" s="1790"/>
      <c r="AA164" s="1790">
        <f t="shared" si="27"/>
        <v>0</v>
      </c>
      <c r="AB164" s="1769"/>
      <c r="AC164" s="1769"/>
      <c r="AD164" s="1769"/>
      <c r="AE164" s="1769">
        <f t="shared" si="28"/>
        <v>0</v>
      </c>
      <c r="AF164" s="1769">
        <f t="shared" si="20"/>
        <v>0</v>
      </c>
      <c r="AG164" s="193"/>
    </row>
    <row r="165" spans="1:35" s="7" customFormat="1" ht="33.75" x14ac:dyDescent="0.2">
      <c r="A165" s="248"/>
      <c r="B165" s="19" t="s">
        <v>600</v>
      </c>
      <c r="C165" s="15" t="s">
        <v>421</v>
      </c>
      <c r="D165" s="19"/>
      <c r="E165" s="139"/>
      <c r="F165" s="139"/>
      <c r="G165" s="139"/>
      <c r="H165" s="139"/>
      <c r="I165" s="139"/>
      <c r="J165" s="172"/>
      <c r="K165" s="213"/>
      <c r="L165" s="213"/>
      <c r="M165" s="213"/>
      <c r="N165" s="213"/>
      <c r="O165" s="213"/>
      <c r="P165" s="155">
        <f>+P166</f>
        <v>10000000</v>
      </c>
      <c r="Q165" s="155">
        <f>+Q166</f>
        <v>0</v>
      </c>
      <c r="R165" s="155">
        <f>+R166</f>
        <v>0</v>
      </c>
      <c r="S165" s="349">
        <f t="shared" si="25"/>
        <v>10000000</v>
      </c>
      <c r="T165" s="349">
        <f>+T166</f>
        <v>15000000</v>
      </c>
      <c r="U165" s="349">
        <f>+U166</f>
        <v>0</v>
      </c>
      <c r="V165" s="349">
        <f>+V166</f>
        <v>0</v>
      </c>
      <c r="W165" s="349">
        <f t="shared" si="26"/>
        <v>15000000</v>
      </c>
      <c r="X165" s="349">
        <f>+X166</f>
        <v>15000000</v>
      </c>
      <c r="Y165" s="349">
        <f>+Y166</f>
        <v>0</v>
      </c>
      <c r="Z165" s="349">
        <f>+Z166</f>
        <v>0</v>
      </c>
      <c r="AA165" s="349">
        <f t="shared" si="27"/>
        <v>15000000</v>
      </c>
      <c r="AB165" s="349">
        <f>+AB166</f>
        <v>15000000</v>
      </c>
      <c r="AC165" s="349">
        <f>+AC166</f>
        <v>0</v>
      </c>
      <c r="AD165" s="349">
        <f>+AD166</f>
        <v>0</v>
      </c>
      <c r="AE165" s="349">
        <f t="shared" si="28"/>
        <v>15000000</v>
      </c>
      <c r="AF165" s="349">
        <f t="shared" si="20"/>
        <v>55000000</v>
      </c>
      <c r="AG165" s="198"/>
      <c r="AH165" s="193">
        <f>+AF166</f>
        <v>55000000</v>
      </c>
      <c r="AI165" s="238"/>
    </row>
    <row r="166" spans="1:35" s="7" customFormat="1" ht="22.5" hidden="1" x14ac:dyDescent="0.2">
      <c r="A166" s="248"/>
      <c r="B166" s="38"/>
      <c r="C166" s="41"/>
      <c r="D166" s="41" t="s">
        <v>615</v>
      </c>
      <c r="E166" s="138"/>
      <c r="F166" s="138"/>
      <c r="G166" s="138"/>
      <c r="H166" s="138"/>
      <c r="I166" s="145" t="s">
        <v>614</v>
      </c>
      <c r="J166" s="174" t="s">
        <v>137</v>
      </c>
      <c r="K166" s="217">
        <v>1</v>
      </c>
      <c r="L166" s="217">
        <v>1</v>
      </c>
      <c r="M166" s="217">
        <v>1</v>
      </c>
      <c r="N166" s="217">
        <v>1</v>
      </c>
      <c r="O166" s="217">
        <f>SUM(K166:N166)</f>
        <v>4</v>
      </c>
      <c r="P166" s="261">
        <v>10000000</v>
      </c>
      <c r="Q166" s="261"/>
      <c r="R166" s="261"/>
      <c r="S166" s="350">
        <f t="shared" si="25"/>
        <v>10000000</v>
      </c>
      <c r="T166" s="350">
        <v>15000000</v>
      </c>
      <c r="U166" s="350">
        <v>0</v>
      </c>
      <c r="V166" s="350">
        <v>0</v>
      </c>
      <c r="W166" s="350">
        <f t="shared" si="26"/>
        <v>15000000</v>
      </c>
      <c r="X166" s="350">
        <v>15000000</v>
      </c>
      <c r="Y166" s="350"/>
      <c r="Z166" s="350"/>
      <c r="AA166" s="350">
        <f t="shared" si="27"/>
        <v>15000000</v>
      </c>
      <c r="AB166" s="350">
        <v>15000000</v>
      </c>
      <c r="AC166" s="350"/>
      <c r="AD166" s="350"/>
      <c r="AE166" s="350">
        <f t="shared" si="28"/>
        <v>15000000</v>
      </c>
      <c r="AF166" s="350">
        <f t="shared" si="20"/>
        <v>55000000</v>
      </c>
      <c r="AG166" s="193"/>
      <c r="AH166" s="193"/>
      <c r="AI166" s="238"/>
    </row>
    <row r="167" spans="1:35" s="7" customFormat="1" ht="45" x14ac:dyDescent="0.2">
      <c r="A167" s="248"/>
      <c r="B167" s="128" t="s">
        <v>106</v>
      </c>
      <c r="C167" s="128"/>
      <c r="D167" s="19"/>
      <c r="E167" s="139"/>
      <c r="F167" s="139"/>
      <c r="G167" s="139"/>
      <c r="H167" s="139"/>
      <c r="I167" s="139"/>
      <c r="J167" s="172"/>
      <c r="K167" s="213"/>
      <c r="L167" s="213"/>
      <c r="M167" s="213"/>
      <c r="N167" s="213"/>
      <c r="O167" s="213"/>
      <c r="P167" s="155">
        <f>SUM(P168:P169)</f>
        <v>100000000</v>
      </c>
      <c r="Q167" s="155">
        <f>SUM(Q168:Q169)</f>
        <v>0</v>
      </c>
      <c r="R167" s="155">
        <f>SUM(R168:R169)</f>
        <v>0</v>
      </c>
      <c r="S167" s="349">
        <f t="shared" si="25"/>
        <v>100000000</v>
      </c>
      <c r="T167" s="349">
        <f>SUM(T168:T169)</f>
        <v>132000000</v>
      </c>
      <c r="U167" s="349">
        <f>SUM(U168:U169)</f>
        <v>0</v>
      </c>
      <c r="V167" s="349">
        <f>SUM(V168:V169)</f>
        <v>0</v>
      </c>
      <c r="W167" s="349">
        <f t="shared" si="26"/>
        <v>132000000</v>
      </c>
      <c r="X167" s="349">
        <f>SUM(X168:X169)</f>
        <v>165000000</v>
      </c>
      <c r="Y167" s="349">
        <f>SUM(Y168:Y169)</f>
        <v>0</v>
      </c>
      <c r="Z167" s="349">
        <f>SUM(Z168:Z169)</f>
        <v>0</v>
      </c>
      <c r="AA167" s="349">
        <f t="shared" si="27"/>
        <v>165000000</v>
      </c>
      <c r="AB167" s="349">
        <f>SUM(AB168:AB169)</f>
        <v>199234000</v>
      </c>
      <c r="AC167" s="349">
        <f>SUM(AC168:AC169)</f>
        <v>0</v>
      </c>
      <c r="AD167" s="349">
        <f>SUM(AD168:AD169)</f>
        <v>0</v>
      </c>
      <c r="AE167" s="349">
        <f t="shared" si="28"/>
        <v>199234000</v>
      </c>
      <c r="AF167" s="349">
        <f t="shared" si="20"/>
        <v>596234000</v>
      </c>
      <c r="AG167" s="198"/>
      <c r="AH167" s="193">
        <f>SUM(AF168:AF169)</f>
        <v>596234000</v>
      </c>
      <c r="AI167" s="238">
        <v>50000000</v>
      </c>
    </row>
    <row r="168" spans="1:35" ht="33.75" hidden="1" x14ac:dyDescent="0.2">
      <c r="A168" s="248"/>
      <c r="B168" s="1563"/>
      <c r="C168" s="1446" t="s">
        <v>421</v>
      </c>
      <c r="D168" s="41" t="s">
        <v>381</v>
      </c>
      <c r="E168" s="145"/>
      <c r="F168" s="145"/>
      <c r="G168" s="145"/>
      <c r="H168" s="145"/>
      <c r="I168" s="16" t="s">
        <v>469</v>
      </c>
      <c r="J168" s="174" t="s">
        <v>137</v>
      </c>
      <c r="K168" s="217">
        <v>37</v>
      </c>
      <c r="L168" s="217">
        <v>37</v>
      </c>
      <c r="M168" s="217">
        <v>37</v>
      </c>
      <c r="N168" s="217">
        <v>37</v>
      </c>
      <c r="O168" s="222">
        <v>37</v>
      </c>
      <c r="P168" s="183">
        <v>65000000</v>
      </c>
      <c r="Q168" s="261"/>
      <c r="R168" s="261"/>
      <c r="S168" s="350">
        <f t="shared" si="25"/>
        <v>65000000</v>
      </c>
      <c r="T168" s="350">
        <v>73000000</v>
      </c>
      <c r="U168" s="350"/>
      <c r="V168" s="350"/>
      <c r="W168" s="350">
        <f t="shared" si="26"/>
        <v>73000000</v>
      </c>
      <c r="X168" s="350">
        <v>77000000</v>
      </c>
      <c r="Y168" s="350"/>
      <c r="Z168" s="350"/>
      <c r="AA168" s="350">
        <f t="shared" si="27"/>
        <v>77000000</v>
      </c>
      <c r="AB168" s="350">
        <v>81119000</v>
      </c>
      <c r="AC168" s="350"/>
      <c r="AD168" s="350"/>
      <c r="AE168" s="350">
        <f t="shared" si="28"/>
        <v>81119000</v>
      </c>
      <c r="AF168" s="350">
        <f t="shared" si="20"/>
        <v>296119000</v>
      </c>
      <c r="AG168" s="193"/>
    </row>
    <row r="169" spans="1:35" ht="22.5" hidden="1" x14ac:dyDescent="0.2">
      <c r="A169" s="248"/>
      <c r="B169" s="1564"/>
      <c r="C169" s="1448"/>
      <c r="D169" s="41" t="s">
        <v>467</v>
      </c>
      <c r="E169" s="145"/>
      <c r="F169" s="145"/>
      <c r="G169" s="145"/>
      <c r="H169" s="145"/>
      <c r="I169" s="137" t="s">
        <v>468</v>
      </c>
      <c r="J169" s="53" t="s">
        <v>147</v>
      </c>
      <c r="K169" s="226">
        <v>25</v>
      </c>
      <c r="L169" s="226">
        <v>50</v>
      </c>
      <c r="M169" s="226">
        <v>80</v>
      </c>
      <c r="N169" s="226">
        <v>100</v>
      </c>
      <c r="O169" s="230">
        <v>100</v>
      </c>
      <c r="P169" s="183">
        <v>35000000</v>
      </c>
      <c r="Q169" s="261"/>
      <c r="R169" s="261"/>
      <c r="S169" s="350">
        <f t="shared" si="25"/>
        <v>35000000</v>
      </c>
      <c r="T169" s="360">
        <v>59000000</v>
      </c>
      <c r="U169" s="361"/>
      <c r="V169" s="350"/>
      <c r="W169" s="350">
        <f t="shared" si="26"/>
        <v>59000000</v>
      </c>
      <c r="X169" s="360">
        <v>88000000</v>
      </c>
      <c r="Y169" s="361"/>
      <c r="Z169" s="350"/>
      <c r="AA169" s="350">
        <f t="shared" si="27"/>
        <v>88000000</v>
      </c>
      <c r="AB169" s="360">
        <v>118115000</v>
      </c>
      <c r="AC169" s="360"/>
      <c r="AD169" s="350"/>
      <c r="AE169" s="350">
        <f t="shared" si="28"/>
        <v>118115000</v>
      </c>
      <c r="AF169" s="350">
        <f t="shared" si="20"/>
        <v>300115000</v>
      </c>
      <c r="AG169" s="193"/>
    </row>
    <row r="170" spans="1:35" s="7" customFormat="1" ht="45" customHeight="1" x14ac:dyDescent="0.2">
      <c r="A170" s="248"/>
      <c r="B170" s="128" t="s">
        <v>109</v>
      </c>
      <c r="C170" s="19"/>
      <c r="D170" s="150"/>
      <c r="E170" s="131"/>
      <c r="F170" s="131"/>
      <c r="G170" s="131"/>
      <c r="H170" s="131"/>
      <c r="I170" s="131"/>
      <c r="J170" s="176"/>
      <c r="K170" s="231"/>
      <c r="L170" s="231"/>
      <c r="M170" s="231"/>
      <c r="N170" s="231"/>
      <c r="O170" s="231"/>
      <c r="P170" s="155">
        <f>+P171</f>
        <v>80000000</v>
      </c>
      <c r="Q170" s="155">
        <f>+Q171</f>
        <v>0</v>
      </c>
      <c r="R170" s="155">
        <f>+R171</f>
        <v>0</v>
      </c>
      <c r="S170" s="349">
        <f t="shared" si="25"/>
        <v>80000000</v>
      </c>
      <c r="T170" s="349">
        <f>+T171</f>
        <v>81600000</v>
      </c>
      <c r="U170" s="349">
        <f>+U171</f>
        <v>0</v>
      </c>
      <c r="V170" s="349">
        <f>+V171</f>
        <v>0</v>
      </c>
      <c r="W170" s="349">
        <f t="shared" si="26"/>
        <v>81600000</v>
      </c>
      <c r="X170" s="349">
        <f>+X171</f>
        <v>83232000</v>
      </c>
      <c r="Y170" s="349">
        <f>+Y171</f>
        <v>0</v>
      </c>
      <c r="Z170" s="349">
        <f>+Z171</f>
        <v>0</v>
      </c>
      <c r="AA170" s="349">
        <f t="shared" si="27"/>
        <v>83232000</v>
      </c>
      <c r="AB170" s="349">
        <f>+AB171</f>
        <v>85000000</v>
      </c>
      <c r="AC170" s="349">
        <f>+AC171</f>
        <v>0</v>
      </c>
      <c r="AD170" s="349">
        <f>+AD171</f>
        <v>0</v>
      </c>
      <c r="AE170" s="349">
        <f t="shared" si="28"/>
        <v>85000000</v>
      </c>
      <c r="AF170" s="349">
        <f t="shared" si="20"/>
        <v>329832000</v>
      </c>
      <c r="AG170" s="198"/>
      <c r="AH170" s="193">
        <f>+AF171</f>
        <v>329832000</v>
      </c>
      <c r="AI170" s="238"/>
    </row>
    <row r="171" spans="1:35" ht="45" hidden="1" x14ac:dyDescent="0.2">
      <c r="A171" s="248"/>
      <c r="B171" s="1563"/>
      <c r="C171" s="1784" t="s">
        <v>421</v>
      </c>
      <c r="D171" s="151" t="s">
        <v>160</v>
      </c>
      <c r="E171" s="145"/>
      <c r="F171" s="145"/>
      <c r="G171" s="145"/>
      <c r="H171" s="145"/>
      <c r="I171" s="151" t="s">
        <v>167</v>
      </c>
      <c r="J171" s="167" t="s">
        <v>558</v>
      </c>
      <c r="K171" s="214">
        <v>11</v>
      </c>
      <c r="L171" s="214">
        <v>11</v>
      </c>
      <c r="M171" s="214">
        <v>11</v>
      </c>
      <c r="N171" s="214">
        <v>11</v>
      </c>
      <c r="O171" s="217">
        <v>44</v>
      </c>
      <c r="P171" s="1787">
        <v>80000000</v>
      </c>
      <c r="Q171" s="1787"/>
      <c r="R171" s="1787"/>
      <c r="S171" s="1767">
        <f t="shared" si="25"/>
        <v>80000000</v>
      </c>
      <c r="T171" s="1767">
        <f>+ROUND(P171*0.02,0)+P171</f>
        <v>81600000</v>
      </c>
      <c r="U171" s="1767"/>
      <c r="V171" s="1767"/>
      <c r="W171" s="1767">
        <f t="shared" si="26"/>
        <v>81600000</v>
      </c>
      <c r="X171" s="1767">
        <f>+ROUND(T171*0.02,0)+T171</f>
        <v>83232000</v>
      </c>
      <c r="Y171" s="1767"/>
      <c r="Z171" s="1767"/>
      <c r="AA171" s="1767">
        <f t="shared" si="27"/>
        <v>83232000</v>
      </c>
      <c r="AB171" s="1767">
        <v>85000000</v>
      </c>
      <c r="AC171" s="1767"/>
      <c r="AD171" s="1767"/>
      <c r="AE171" s="1767">
        <f t="shared" si="28"/>
        <v>85000000</v>
      </c>
      <c r="AF171" s="1767">
        <f t="shared" si="20"/>
        <v>329832000</v>
      </c>
      <c r="AG171" s="193"/>
    </row>
    <row r="172" spans="1:35" hidden="1" x14ac:dyDescent="0.2">
      <c r="A172" s="248"/>
      <c r="B172" s="1783"/>
      <c r="C172" s="1785"/>
      <c r="D172" s="151" t="s">
        <v>161</v>
      </c>
      <c r="E172" s="145"/>
      <c r="F172" s="145"/>
      <c r="G172" s="145"/>
      <c r="H172" s="145"/>
      <c r="I172" s="151" t="s">
        <v>164</v>
      </c>
      <c r="J172" s="167" t="s">
        <v>558</v>
      </c>
      <c r="K172" s="214">
        <v>10</v>
      </c>
      <c r="L172" s="214">
        <v>10</v>
      </c>
      <c r="M172" s="214">
        <v>10</v>
      </c>
      <c r="N172" s="214">
        <v>10</v>
      </c>
      <c r="O172" s="217">
        <v>40</v>
      </c>
      <c r="P172" s="1788"/>
      <c r="Q172" s="1788"/>
      <c r="R172" s="1788"/>
      <c r="S172" s="1768">
        <f t="shared" si="25"/>
        <v>0</v>
      </c>
      <c r="T172" s="1768"/>
      <c r="U172" s="1768"/>
      <c r="V172" s="1768"/>
      <c r="W172" s="1768">
        <f t="shared" si="26"/>
        <v>0</v>
      </c>
      <c r="X172" s="1768"/>
      <c r="Y172" s="1768"/>
      <c r="Z172" s="1768"/>
      <c r="AA172" s="1768">
        <f t="shared" si="27"/>
        <v>0</v>
      </c>
      <c r="AB172" s="1768"/>
      <c r="AC172" s="1768"/>
      <c r="AD172" s="1768"/>
      <c r="AE172" s="1768">
        <f t="shared" si="28"/>
        <v>0</v>
      </c>
      <c r="AF172" s="1768">
        <f t="shared" si="20"/>
        <v>0</v>
      </c>
      <c r="AG172" s="193"/>
    </row>
    <row r="173" spans="1:35" hidden="1" x14ac:dyDescent="0.2">
      <c r="A173" s="248"/>
      <c r="B173" s="1783"/>
      <c r="C173" s="1785"/>
      <c r="D173" s="151" t="s">
        <v>162</v>
      </c>
      <c r="E173" s="145"/>
      <c r="F173" s="145"/>
      <c r="G173" s="145"/>
      <c r="H173" s="145"/>
      <c r="I173" s="151" t="s">
        <v>165</v>
      </c>
      <c r="J173" s="167" t="s">
        <v>558</v>
      </c>
      <c r="K173" s="214">
        <v>1</v>
      </c>
      <c r="L173" s="214">
        <v>1</v>
      </c>
      <c r="M173" s="214">
        <v>1</v>
      </c>
      <c r="N173" s="214">
        <v>1</v>
      </c>
      <c r="O173" s="217">
        <v>4</v>
      </c>
      <c r="P173" s="1788"/>
      <c r="Q173" s="1788"/>
      <c r="R173" s="1788"/>
      <c r="S173" s="1768">
        <f t="shared" si="25"/>
        <v>0</v>
      </c>
      <c r="T173" s="1768"/>
      <c r="U173" s="1768"/>
      <c r="V173" s="1768"/>
      <c r="W173" s="1768">
        <f t="shared" si="26"/>
        <v>0</v>
      </c>
      <c r="X173" s="1768"/>
      <c r="Y173" s="1768"/>
      <c r="Z173" s="1768"/>
      <c r="AA173" s="1768">
        <f t="shared" si="27"/>
        <v>0</v>
      </c>
      <c r="AB173" s="1768"/>
      <c r="AC173" s="1768"/>
      <c r="AD173" s="1768"/>
      <c r="AE173" s="1768">
        <f t="shared" si="28"/>
        <v>0</v>
      </c>
      <c r="AF173" s="1768">
        <f t="shared" si="20"/>
        <v>0</v>
      </c>
      <c r="AG173" s="193"/>
    </row>
    <row r="174" spans="1:35" ht="22.5" hidden="1" x14ac:dyDescent="0.2">
      <c r="A174" s="248"/>
      <c r="B174" s="1564"/>
      <c r="C174" s="1786"/>
      <c r="D174" s="257" t="s">
        <v>163</v>
      </c>
      <c r="E174" s="146"/>
      <c r="F174" s="146"/>
      <c r="G174" s="146"/>
      <c r="H174" s="146"/>
      <c r="I174" s="156" t="s">
        <v>166</v>
      </c>
      <c r="J174" s="259" t="s">
        <v>559</v>
      </c>
      <c r="K174" s="214">
        <v>1</v>
      </c>
      <c r="L174" s="214">
        <v>1</v>
      </c>
      <c r="M174" s="214">
        <v>1</v>
      </c>
      <c r="N174" s="214">
        <v>1</v>
      </c>
      <c r="O174" s="217">
        <v>4</v>
      </c>
      <c r="P174" s="1789"/>
      <c r="Q174" s="1789"/>
      <c r="R174" s="1789"/>
      <c r="S174" s="1769">
        <f t="shared" si="25"/>
        <v>0</v>
      </c>
      <c r="T174" s="1769"/>
      <c r="U174" s="1769"/>
      <c r="V174" s="1769"/>
      <c r="W174" s="1769">
        <f t="shared" si="26"/>
        <v>0</v>
      </c>
      <c r="X174" s="1769"/>
      <c r="Y174" s="1769"/>
      <c r="Z174" s="1769"/>
      <c r="AA174" s="1769">
        <f t="shared" si="27"/>
        <v>0</v>
      </c>
      <c r="AB174" s="1769"/>
      <c r="AC174" s="1769"/>
      <c r="AD174" s="1769"/>
      <c r="AE174" s="1769">
        <f t="shared" si="28"/>
        <v>0</v>
      </c>
      <c r="AF174" s="1769">
        <f t="shared" si="20"/>
        <v>0</v>
      </c>
      <c r="AG174" s="193"/>
    </row>
    <row r="175" spans="1:35" s="7" customFormat="1" ht="45" x14ac:dyDescent="0.2">
      <c r="A175" s="248"/>
      <c r="B175" s="128" t="s">
        <v>481</v>
      </c>
      <c r="C175" s="128"/>
      <c r="D175" s="206"/>
      <c r="E175" s="139"/>
      <c r="F175" s="139"/>
      <c r="G175" s="139"/>
      <c r="H175" s="139"/>
      <c r="I175" s="127"/>
      <c r="J175" s="127"/>
      <c r="K175" s="212"/>
      <c r="L175" s="212"/>
      <c r="M175" s="212"/>
      <c r="N175" s="212"/>
      <c r="O175" s="212"/>
      <c r="P175" s="155">
        <f>SUM(P176:P179)</f>
        <v>260000000</v>
      </c>
      <c r="Q175" s="155">
        <f>SUM(Q176:Q179)</f>
        <v>0</v>
      </c>
      <c r="R175" s="155">
        <f>SUM(R176:R179)</f>
        <v>0</v>
      </c>
      <c r="S175" s="349">
        <f t="shared" si="25"/>
        <v>260000000</v>
      </c>
      <c r="T175" s="349">
        <f>SUM(T176:T179)</f>
        <v>265000000</v>
      </c>
      <c r="U175" s="349">
        <f>SUM(U176:U179)</f>
        <v>0</v>
      </c>
      <c r="V175" s="349">
        <f>SUM(V176:V179)</f>
        <v>0</v>
      </c>
      <c r="W175" s="349">
        <f t="shared" si="26"/>
        <v>265000000</v>
      </c>
      <c r="X175" s="349">
        <f>SUM(X176:X179)</f>
        <v>265000000</v>
      </c>
      <c r="Y175" s="349">
        <f>SUM(Y176:Y179)</f>
        <v>0</v>
      </c>
      <c r="Z175" s="349">
        <f>SUM(Z176:Z179)</f>
        <v>0</v>
      </c>
      <c r="AA175" s="349">
        <f t="shared" si="27"/>
        <v>265000000</v>
      </c>
      <c r="AB175" s="349">
        <f>SUM(AB176:AB179)</f>
        <v>270300000</v>
      </c>
      <c r="AC175" s="349">
        <f>SUM(AC176:AC179)</f>
        <v>0</v>
      </c>
      <c r="AD175" s="349">
        <f>SUM(AD176:AD179)</f>
        <v>0</v>
      </c>
      <c r="AE175" s="349">
        <f t="shared" si="28"/>
        <v>270300000</v>
      </c>
      <c r="AF175" s="349">
        <f t="shared" si="20"/>
        <v>1060300000</v>
      </c>
      <c r="AG175" s="198"/>
      <c r="AH175" s="193">
        <f>+AF176</f>
        <v>1060300000</v>
      </c>
      <c r="AI175" s="238">
        <v>350000000</v>
      </c>
    </row>
    <row r="176" spans="1:35" ht="22.5" hidden="1" x14ac:dyDescent="0.2">
      <c r="A176" s="248"/>
      <c r="B176" s="1775"/>
      <c r="C176" s="1568" t="s">
        <v>421</v>
      </c>
      <c r="D176" s="1689" t="s">
        <v>482</v>
      </c>
      <c r="E176" s="152"/>
      <c r="F176" s="152"/>
      <c r="G176" s="152"/>
      <c r="H176" s="152"/>
      <c r="I176" s="207" t="s">
        <v>477</v>
      </c>
      <c r="J176" s="275" t="s">
        <v>147</v>
      </c>
      <c r="K176" s="233">
        <v>0</v>
      </c>
      <c r="L176" s="233">
        <v>100</v>
      </c>
      <c r="M176" s="233">
        <v>100</v>
      </c>
      <c r="N176" s="233">
        <v>100</v>
      </c>
      <c r="O176" s="235">
        <v>100</v>
      </c>
      <c r="P176" s="1780">
        <v>260000000</v>
      </c>
      <c r="Q176" s="1780"/>
      <c r="R176" s="1780"/>
      <c r="S176" s="1767">
        <f t="shared" si="25"/>
        <v>260000000</v>
      </c>
      <c r="T176" s="1767">
        <v>265000000</v>
      </c>
      <c r="U176" s="1767"/>
      <c r="V176" s="1767"/>
      <c r="W176" s="1767">
        <f t="shared" si="26"/>
        <v>265000000</v>
      </c>
      <c r="X176" s="1767">
        <v>265000000</v>
      </c>
      <c r="Y176" s="1767"/>
      <c r="Z176" s="1767"/>
      <c r="AA176" s="1767">
        <f t="shared" si="27"/>
        <v>265000000</v>
      </c>
      <c r="AB176" s="1767">
        <v>270300000</v>
      </c>
      <c r="AC176" s="1767"/>
      <c r="AD176" s="1767"/>
      <c r="AE176" s="1767">
        <f t="shared" si="28"/>
        <v>270300000</v>
      </c>
      <c r="AF176" s="1767">
        <f t="shared" si="20"/>
        <v>1060300000</v>
      </c>
      <c r="AG176" s="332"/>
    </row>
    <row r="177" spans="1:41" hidden="1" x14ac:dyDescent="0.2">
      <c r="A177" s="248"/>
      <c r="B177" s="1776"/>
      <c r="C177" s="1569"/>
      <c r="D177" s="1778"/>
      <c r="E177" s="152"/>
      <c r="F177" s="152"/>
      <c r="G177" s="152"/>
      <c r="H177" s="152"/>
      <c r="I177" s="207" t="s">
        <v>478</v>
      </c>
      <c r="J177" s="275" t="s">
        <v>147</v>
      </c>
      <c r="K177" s="233">
        <v>100</v>
      </c>
      <c r="L177" s="233">
        <v>100</v>
      </c>
      <c r="M177" s="233">
        <v>100</v>
      </c>
      <c r="N177" s="233">
        <v>100</v>
      </c>
      <c r="O177" s="235">
        <v>100</v>
      </c>
      <c r="P177" s="1781"/>
      <c r="Q177" s="1781"/>
      <c r="R177" s="1781"/>
      <c r="S177" s="1768"/>
      <c r="T177" s="1768"/>
      <c r="U177" s="1768"/>
      <c r="V177" s="1768"/>
      <c r="W177" s="1768"/>
      <c r="X177" s="1768"/>
      <c r="Y177" s="1768"/>
      <c r="Z177" s="1768"/>
      <c r="AA177" s="1768"/>
      <c r="AB177" s="1768"/>
      <c r="AC177" s="1768"/>
      <c r="AD177" s="1768"/>
      <c r="AE177" s="1768"/>
      <c r="AF177" s="1768"/>
      <c r="AG177" s="332"/>
    </row>
    <row r="178" spans="1:41" ht="33.75" hidden="1" x14ac:dyDescent="0.2">
      <c r="A178" s="248"/>
      <c r="B178" s="1776"/>
      <c r="C178" s="1569"/>
      <c r="D178" s="1778"/>
      <c r="E178" s="152"/>
      <c r="F178" s="152"/>
      <c r="G178" s="152"/>
      <c r="H178" s="152"/>
      <c r="I178" s="207" t="s">
        <v>479</v>
      </c>
      <c r="J178" s="275" t="s">
        <v>147</v>
      </c>
      <c r="K178" s="233">
        <v>100</v>
      </c>
      <c r="L178" s="233">
        <v>100</v>
      </c>
      <c r="M178" s="233">
        <v>100</v>
      </c>
      <c r="N178" s="233">
        <v>100</v>
      </c>
      <c r="O178" s="235">
        <v>100</v>
      </c>
      <c r="P178" s="1781"/>
      <c r="Q178" s="1781"/>
      <c r="R178" s="1781"/>
      <c r="S178" s="1768"/>
      <c r="T178" s="1768"/>
      <c r="U178" s="1768"/>
      <c r="V178" s="1768"/>
      <c r="W178" s="1768"/>
      <c r="X178" s="1768"/>
      <c r="Y178" s="1768"/>
      <c r="Z178" s="1768"/>
      <c r="AA178" s="1768"/>
      <c r="AB178" s="1768"/>
      <c r="AC178" s="1768"/>
      <c r="AD178" s="1768"/>
      <c r="AE178" s="1768"/>
      <c r="AF178" s="1768"/>
      <c r="AG178" s="332"/>
      <c r="AK178" s="249"/>
    </row>
    <row r="179" spans="1:41" ht="22.5" hidden="1" x14ac:dyDescent="0.2">
      <c r="A179" s="248"/>
      <c r="B179" s="1777"/>
      <c r="C179" s="1570"/>
      <c r="D179" s="1779"/>
      <c r="E179" s="152"/>
      <c r="F179" s="152"/>
      <c r="G179" s="152"/>
      <c r="H179" s="152"/>
      <c r="I179" s="207" t="s">
        <v>480</v>
      </c>
      <c r="J179" s="275" t="s">
        <v>147</v>
      </c>
      <c r="K179" s="233">
        <v>100</v>
      </c>
      <c r="L179" s="233">
        <v>100</v>
      </c>
      <c r="M179" s="233">
        <v>100</v>
      </c>
      <c r="N179" s="233">
        <v>100</v>
      </c>
      <c r="O179" s="235">
        <v>100</v>
      </c>
      <c r="P179" s="1782"/>
      <c r="Q179" s="1782"/>
      <c r="R179" s="1782"/>
      <c r="S179" s="1769"/>
      <c r="T179" s="1769"/>
      <c r="U179" s="1769"/>
      <c r="V179" s="1769"/>
      <c r="W179" s="1769"/>
      <c r="X179" s="1769"/>
      <c r="Y179" s="1769"/>
      <c r="Z179" s="1769"/>
      <c r="AA179" s="1769"/>
      <c r="AB179" s="1769"/>
      <c r="AC179" s="1769"/>
      <c r="AD179" s="1769"/>
      <c r="AE179" s="1769"/>
      <c r="AF179" s="1769"/>
      <c r="AG179" s="332"/>
      <c r="AK179" s="249"/>
    </row>
    <row r="180" spans="1:41" ht="45" x14ac:dyDescent="0.2">
      <c r="A180" s="248"/>
      <c r="B180" s="128" t="s">
        <v>473</v>
      </c>
      <c r="C180" s="200"/>
      <c r="D180" s="201"/>
      <c r="E180" s="202"/>
      <c r="F180" s="202"/>
      <c r="G180" s="202"/>
      <c r="H180" s="202"/>
      <c r="I180" s="199"/>
      <c r="J180" s="203"/>
      <c r="K180" s="220"/>
      <c r="L180" s="220"/>
      <c r="M180" s="220"/>
      <c r="N180" s="220"/>
      <c r="O180" s="221"/>
      <c r="P180" s="204">
        <f>SUM(P181:P183)</f>
        <v>0</v>
      </c>
      <c r="Q180" s="204">
        <f>SUM(Q181:Q183)</f>
        <v>0</v>
      </c>
      <c r="R180" s="204">
        <f>SUM(R181:R183)</f>
        <v>0</v>
      </c>
      <c r="S180" s="362">
        <f>SUM(P180:R180)</f>
        <v>0</v>
      </c>
      <c r="T180" s="362">
        <f>SUM(T181:T183)</f>
        <v>287937109</v>
      </c>
      <c r="U180" s="362">
        <f>SUM(U181:U183)</f>
        <v>0</v>
      </c>
      <c r="V180" s="362">
        <f>SUM(V181:V183)</f>
        <v>0</v>
      </c>
      <c r="W180" s="362">
        <f>SUM(T180:V180)</f>
        <v>287937109</v>
      </c>
      <c r="X180" s="362">
        <f>SUM(X181:X183)</f>
        <v>215714659</v>
      </c>
      <c r="Y180" s="362">
        <f>SUM(Y181:Y183)</f>
        <v>0</v>
      </c>
      <c r="Z180" s="362">
        <f>SUM(Z181:Z183)</f>
        <v>0</v>
      </c>
      <c r="AA180" s="362">
        <f>SUM(X180:Z180)</f>
        <v>215714659</v>
      </c>
      <c r="AB180" s="362">
        <f>SUM(AB181:AB183)</f>
        <v>359323365</v>
      </c>
      <c r="AC180" s="362">
        <f>SUM(AC181:AC183)</f>
        <v>0</v>
      </c>
      <c r="AD180" s="362">
        <f>SUM(AD181:AD183)</f>
        <v>0</v>
      </c>
      <c r="AE180" s="362">
        <f>SUM(AB180:AD180)</f>
        <v>359323365</v>
      </c>
      <c r="AF180" s="349">
        <f>+S180+W180+AA180+AE180</f>
        <v>862975133</v>
      </c>
      <c r="AG180" s="198"/>
      <c r="AH180" s="193">
        <f>SUM(AF181:AF183)</f>
        <v>862975133</v>
      </c>
      <c r="AK180" s="249"/>
    </row>
    <row r="181" spans="1:41" ht="33.75" hidden="1" x14ac:dyDescent="0.2">
      <c r="A181" s="248"/>
      <c r="B181" s="1770"/>
      <c r="C181" s="1568" t="s">
        <v>421</v>
      </c>
      <c r="D181" s="41" t="s">
        <v>388</v>
      </c>
      <c r="E181" s="138"/>
      <c r="F181" s="138"/>
      <c r="G181" s="138"/>
      <c r="H181" s="138"/>
      <c r="I181" s="41" t="s">
        <v>475</v>
      </c>
      <c r="J181" s="170" t="s">
        <v>147</v>
      </c>
      <c r="K181" s="232" t="s">
        <v>391</v>
      </c>
      <c r="L181" s="232" t="s">
        <v>391</v>
      </c>
      <c r="M181" s="232" t="s">
        <v>391</v>
      </c>
      <c r="N181" s="232" t="s">
        <v>391</v>
      </c>
      <c r="O181" s="228" t="s">
        <v>391</v>
      </c>
      <c r="P181" s="260">
        <v>0</v>
      </c>
      <c r="Q181" s="260">
        <v>0</v>
      </c>
      <c r="R181" s="260">
        <v>0</v>
      </c>
      <c r="S181" s="350">
        <f>SUM(P181:R181)</f>
        <v>0</v>
      </c>
      <c r="T181" s="363">
        <f>200000000-22062891</f>
        <v>177937109</v>
      </c>
      <c r="U181" s="363">
        <v>0</v>
      </c>
      <c r="V181" s="363">
        <v>0</v>
      </c>
      <c r="W181" s="363">
        <f>SUM(T181:V181)</f>
        <v>177937109</v>
      </c>
      <c r="X181" s="364">
        <f>150000000-14285341</f>
        <v>135714659</v>
      </c>
      <c r="Y181" s="364">
        <v>0</v>
      </c>
      <c r="Z181" s="364">
        <v>0</v>
      </c>
      <c r="AA181" s="350">
        <f>SUM(X181:Z181)</f>
        <v>135714659</v>
      </c>
      <c r="AB181" s="364">
        <v>269323365</v>
      </c>
      <c r="AC181" s="364">
        <v>0</v>
      </c>
      <c r="AD181" s="364">
        <v>0</v>
      </c>
      <c r="AE181" s="350">
        <f>SUM(AB181:AD181)</f>
        <v>269323365</v>
      </c>
      <c r="AF181" s="350">
        <f>+S181+W181+AA181+AE181</f>
        <v>582975133</v>
      </c>
      <c r="AG181" s="193"/>
      <c r="AK181" s="249"/>
    </row>
    <row r="182" spans="1:41" hidden="1" x14ac:dyDescent="0.2">
      <c r="A182" s="248"/>
      <c r="B182" s="1771"/>
      <c r="C182" s="1569"/>
      <c r="D182" s="41" t="s">
        <v>389</v>
      </c>
      <c r="E182" s="138"/>
      <c r="F182" s="138"/>
      <c r="G182" s="138"/>
      <c r="H182" s="138"/>
      <c r="I182" s="41" t="s">
        <v>474</v>
      </c>
      <c r="J182" s="170" t="s">
        <v>137</v>
      </c>
      <c r="K182" s="232" t="s">
        <v>391</v>
      </c>
      <c r="L182" s="232" t="s">
        <v>391</v>
      </c>
      <c r="M182" s="232" t="s">
        <v>391</v>
      </c>
      <c r="N182" s="232" t="s">
        <v>391</v>
      </c>
      <c r="O182" s="228" t="s">
        <v>391</v>
      </c>
      <c r="P182" s="260">
        <v>0</v>
      </c>
      <c r="Q182" s="260">
        <v>0</v>
      </c>
      <c r="R182" s="260">
        <v>0</v>
      </c>
      <c r="S182" s="350">
        <f>SUM(P182:R182)</f>
        <v>0</v>
      </c>
      <c r="T182" s="363">
        <v>70000000</v>
      </c>
      <c r="U182" s="363">
        <v>0</v>
      </c>
      <c r="V182" s="363">
        <v>0</v>
      </c>
      <c r="W182" s="363">
        <f>SUM(T182:V182)</f>
        <v>70000000</v>
      </c>
      <c r="X182" s="364">
        <v>40000000</v>
      </c>
      <c r="Y182" s="364">
        <v>0</v>
      </c>
      <c r="Z182" s="364">
        <v>0</v>
      </c>
      <c r="AA182" s="350">
        <f>SUM(X182:Z182)</f>
        <v>40000000</v>
      </c>
      <c r="AB182" s="364">
        <v>50000000</v>
      </c>
      <c r="AC182" s="364">
        <v>0</v>
      </c>
      <c r="AD182" s="364">
        <v>0</v>
      </c>
      <c r="AE182" s="350">
        <f>SUM(AB182:AD182)</f>
        <v>50000000</v>
      </c>
      <c r="AF182" s="350">
        <f>+S182+W182+AA182+AE182</f>
        <v>160000000</v>
      </c>
      <c r="AG182" s="193"/>
      <c r="AK182" s="249"/>
    </row>
    <row r="183" spans="1:41" ht="22.5" hidden="1" x14ac:dyDescent="0.2">
      <c r="A183" s="248"/>
      <c r="B183" s="1771"/>
      <c r="C183" s="1569"/>
      <c r="D183" s="257" t="s">
        <v>390</v>
      </c>
      <c r="E183" s="138"/>
      <c r="F183" s="138"/>
      <c r="G183" s="138"/>
      <c r="H183" s="138"/>
      <c r="I183" s="41" t="s">
        <v>577</v>
      </c>
      <c r="J183" s="170" t="s">
        <v>137</v>
      </c>
      <c r="K183" s="232"/>
      <c r="L183" s="232">
        <v>1</v>
      </c>
      <c r="M183" s="232">
        <v>1</v>
      </c>
      <c r="N183" s="232">
        <v>1</v>
      </c>
      <c r="O183" s="228">
        <v>1</v>
      </c>
      <c r="P183" s="260">
        <v>0</v>
      </c>
      <c r="Q183" s="260">
        <v>0</v>
      </c>
      <c r="R183" s="260">
        <v>0</v>
      </c>
      <c r="S183" s="350">
        <f>SUM(P183:R183)</f>
        <v>0</v>
      </c>
      <c r="T183" s="363">
        <v>40000000</v>
      </c>
      <c r="U183" s="363">
        <v>0</v>
      </c>
      <c r="V183" s="363">
        <v>0</v>
      </c>
      <c r="W183" s="363">
        <f>SUM(T183:V183)</f>
        <v>40000000</v>
      </c>
      <c r="X183" s="364">
        <v>40000000</v>
      </c>
      <c r="Y183" s="364">
        <v>0</v>
      </c>
      <c r="Z183" s="364">
        <v>0</v>
      </c>
      <c r="AA183" s="350">
        <f>SUM(X183:Z183)</f>
        <v>40000000</v>
      </c>
      <c r="AB183" s="364">
        <v>40000000</v>
      </c>
      <c r="AC183" s="364">
        <v>0</v>
      </c>
      <c r="AD183" s="364">
        <v>0</v>
      </c>
      <c r="AE183" s="350">
        <f>SUM(AB183:AD183)</f>
        <v>40000000</v>
      </c>
      <c r="AF183" s="350">
        <f>+S183+W183+AA183+AE183</f>
        <v>120000000</v>
      </c>
      <c r="AG183" s="193"/>
      <c r="AK183" s="249"/>
    </row>
    <row r="184" spans="1:41" s="7" customFormat="1" ht="15" x14ac:dyDescent="0.2">
      <c r="A184" s="4"/>
      <c r="B184" s="373"/>
      <c r="C184" s="373"/>
      <c r="D184" s="373"/>
      <c r="E184" s="49"/>
      <c r="F184" s="49"/>
      <c r="G184" s="49"/>
      <c r="H184" s="49"/>
      <c r="I184" s="374"/>
      <c r="J184" s="375"/>
      <c r="K184" s="49"/>
      <c r="L184" s="49"/>
      <c r="M184" s="49"/>
      <c r="N184" s="49"/>
      <c r="O184" s="374" t="s">
        <v>17</v>
      </c>
      <c r="P184" s="376">
        <f>+P5+P23+P48+P74+P98+P111+P136+P146</f>
        <v>11239380006</v>
      </c>
      <c r="Q184" s="376">
        <f>+Q5+Q23+Q48+Q74+Q98+Q111+Q136+Q146</f>
        <v>1563317494</v>
      </c>
      <c r="R184" s="376">
        <f>+R5+R23+R48+R74+R98+R111+R136+R146</f>
        <v>812000000</v>
      </c>
      <c r="S184" s="377">
        <f>SUM(P184:R184)</f>
        <v>13614697500</v>
      </c>
      <c r="T184" s="377">
        <f>+T5+T23+T48+T74+T98+T111+T136+T146</f>
        <v>11733597260</v>
      </c>
      <c r="U184" s="377">
        <f>+U5+U23+U48+U74+U98+U111+U136+U146</f>
        <v>1600000000</v>
      </c>
      <c r="V184" s="377">
        <f>+V5+V23+V48+V74+V98+V111+V136+V146</f>
        <v>812000000</v>
      </c>
      <c r="W184" s="377">
        <f>SUM(T184:V184)</f>
        <v>14145597260</v>
      </c>
      <c r="X184" s="377">
        <f>+X5+X23+X48+X74+X98+X111+X136+X146</f>
        <v>12315826071</v>
      </c>
      <c r="Y184" s="377">
        <f>+Y5+Y23+Y48+Y74+Y98+Y111+Y136+Y146</f>
        <v>1600000000</v>
      </c>
      <c r="Z184" s="377">
        <f>+Z5+Z23+Z48+Z74+Z98+Z111+Z136+Z146</f>
        <v>1800000000</v>
      </c>
      <c r="AA184" s="377">
        <f>SUM(X184:Z184)</f>
        <v>15715826071</v>
      </c>
      <c r="AB184" s="377">
        <f>+AB5+AB23+AB48+AB74+AB98+AB111+AB136+AB146</f>
        <v>12855053768</v>
      </c>
      <c r="AC184" s="377">
        <f>+AC5+AC23+AC48+AC74+AC98+AC111+AC136+AC146</f>
        <v>1600000000</v>
      </c>
      <c r="AD184" s="377">
        <f>+AD5+AD23+AD48+AD74+AD98+AD111+AD136+AD146</f>
        <v>2000000000</v>
      </c>
      <c r="AE184" s="377">
        <f>SUM(AB184:AD184)</f>
        <v>16455053768</v>
      </c>
      <c r="AF184" s="377">
        <f>+S184+W184+AA184+AE184</f>
        <v>59931174599</v>
      </c>
      <c r="AG184" s="198">
        <f>SUM(AG5:AG183)</f>
        <v>31.509362581048933</v>
      </c>
      <c r="AH184" s="198">
        <f>SUM(AH6:AH183)</f>
        <v>59931174599</v>
      </c>
      <c r="AI184" s="238"/>
      <c r="AK184" s="247"/>
    </row>
    <row r="185" spans="1:41" x14ac:dyDescent="0.2">
      <c r="P185" s="193"/>
      <c r="Q185" s="193"/>
      <c r="R185" s="193"/>
      <c r="S185" s="193"/>
      <c r="T185" s="193"/>
      <c r="U185" s="193"/>
      <c r="V185" s="193"/>
      <c r="W185" s="193"/>
      <c r="X185" s="193"/>
      <c r="Y185" s="193"/>
      <c r="Z185" s="193"/>
      <c r="AA185" s="193"/>
      <c r="AB185" s="193"/>
      <c r="AC185" s="193"/>
      <c r="AD185" s="193"/>
      <c r="AE185" s="193"/>
      <c r="AF185" s="193"/>
      <c r="AG185" s="193"/>
    </row>
    <row r="186" spans="1:41" ht="15" hidden="1" x14ac:dyDescent="0.3">
      <c r="B186" s="3"/>
      <c r="C186" s="3"/>
      <c r="D186" s="3"/>
      <c r="E186" s="3"/>
      <c r="F186" s="3"/>
      <c r="G186" s="3"/>
      <c r="H186" s="3"/>
      <c r="I186" s="3"/>
      <c r="J186" s="3"/>
      <c r="K186" s="3"/>
      <c r="L186" s="3"/>
      <c r="M186" s="3"/>
      <c r="N186" s="3"/>
      <c r="O186" s="124" t="s">
        <v>382</v>
      </c>
      <c r="P186" s="193"/>
      <c r="Q186" s="193"/>
      <c r="R186" s="193">
        <v>812000000</v>
      </c>
      <c r="S186" s="193">
        <f>SUM(P186:R186)</f>
        <v>812000000</v>
      </c>
      <c r="T186" s="193"/>
      <c r="U186" s="193"/>
      <c r="V186" s="193">
        <v>812000000</v>
      </c>
      <c r="W186" s="193">
        <f>SUM(T186:V186)</f>
        <v>812000000</v>
      </c>
      <c r="X186" s="193"/>
      <c r="Y186" s="193"/>
      <c r="Z186" s="193">
        <v>1800000000</v>
      </c>
      <c r="AA186" s="193">
        <f>SUM(X186:Z186)</f>
        <v>1800000000</v>
      </c>
      <c r="AB186" s="193"/>
      <c r="AC186" s="193"/>
      <c r="AD186" s="193">
        <v>2000000000</v>
      </c>
      <c r="AE186" s="193">
        <f>SUM(AB186:AD186)</f>
        <v>2000000000</v>
      </c>
      <c r="AF186" s="263">
        <f>+S186+W186+AA186+AE186</f>
        <v>5424000000</v>
      </c>
      <c r="AG186" s="198"/>
      <c r="AH186" s="193">
        <f>+AF184-AH184</f>
        <v>0</v>
      </c>
      <c r="AI186" s="118">
        <f>SUM(AI49:AI185)</f>
        <v>2373620647</v>
      </c>
      <c r="AK186" s="246"/>
    </row>
    <row r="187" spans="1:41" s="7" customFormat="1" ht="21.6" hidden="1" customHeight="1" x14ac:dyDescent="0.2">
      <c r="O187" s="125" t="s">
        <v>383</v>
      </c>
      <c r="P187" s="243">
        <f t="shared" ref="P187:AF187" si="29">+P186-P184</f>
        <v>-11239380006</v>
      </c>
      <c r="Q187" s="243">
        <f t="shared" si="29"/>
        <v>-1563317494</v>
      </c>
      <c r="R187" s="243">
        <f t="shared" si="29"/>
        <v>0</v>
      </c>
      <c r="S187" s="243">
        <f t="shared" si="29"/>
        <v>-12802697500</v>
      </c>
      <c r="T187" s="243">
        <f t="shared" si="29"/>
        <v>-11733597260</v>
      </c>
      <c r="U187" s="243">
        <f t="shared" si="29"/>
        <v>-1600000000</v>
      </c>
      <c r="V187" s="243">
        <f t="shared" si="29"/>
        <v>0</v>
      </c>
      <c r="W187" s="243">
        <f t="shared" si="29"/>
        <v>-13333597260</v>
      </c>
      <c r="X187" s="243">
        <f t="shared" si="29"/>
        <v>-12315826071</v>
      </c>
      <c r="Y187" s="243">
        <f t="shared" si="29"/>
        <v>-1600000000</v>
      </c>
      <c r="Z187" s="243">
        <f t="shared" si="29"/>
        <v>0</v>
      </c>
      <c r="AA187" s="243">
        <f t="shared" si="29"/>
        <v>-13915826071</v>
      </c>
      <c r="AB187" s="243">
        <f t="shared" si="29"/>
        <v>-12855053768</v>
      </c>
      <c r="AC187" s="243">
        <f t="shared" si="29"/>
        <v>-1600000000</v>
      </c>
      <c r="AD187" s="243">
        <f t="shared" si="29"/>
        <v>0</v>
      </c>
      <c r="AE187" s="243">
        <f t="shared" si="29"/>
        <v>-14455053768</v>
      </c>
      <c r="AF187" s="243">
        <f t="shared" si="29"/>
        <v>-54507174599</v>
      </c>
      <c r="AG187" s="335"/>
      <c r="AH187" s="198"/>
      <c r="AI187" s="238"/>
      <c r="AK187" s="1772"/>
      <c r="AL187" s="1772"/>
      <c r="AM187" s="1772"/>
      <c r="AN187" s="1772"/>
      <c r="AO187" s="1772"/>
    </row>
    <row r="188" spans="1:41" ht="15" x14ac:dyDescent="0.2">
      <c r="B188" s="3"/>
      <c r="C188" s="3"/>
      <c r="D188" s="3"/>
      <c r="E188" s="3"/>
      <c r="F188" s="3"/>
      <c r="G188" s="3"/>
      <c r="H188" s="3"/>
      <c r="I188" s="3"/>
      <c r="J188" s="3"/>
      <c r="K188" s="3"/>
      <c r="L188" s="3"/>
      <c r="M188" s="3"/>
      <c r="N188" s="3"/>
      <c r="P188" s="193"/>
      <c r="Q188" s="193"/>
      <c r="R188" s="193"/>
      <c r="S188" s="193">
        <f>SUM(P187:R187)</f>
        <v>-12802697500</v>
      </c>
      <c r="T188" s="193"/>
      <c r="U188" s="276"/>
      <c r="V188" s="276"/>
      <c r="W188" s="193">
        <f>SUM(T187:V187)</f>
        <v>-13333597260</v>
      </c>
      <c r="X188" s="193"/>
      <c r="Y188" s="276"/>
      <c r="Z188" s="193"/>
      <c r="AA188" s="193">
        <f>SUM(X187:Z187)</f>
        <v>-13915826071</v>
      </c>
      <c r="AB188" s="193"/>
      <c r="AC188" s="276"/>
      <c r="AD188" s="193"/>
      <c r="AE188" s="193">
        <f>SUM(AB187:AD187)</f>
        <v>-14455053768</v>
      </c>
      <c r="AF188" s="193">
        <f>SUM(S188:AE188)</f>
        <v>-54507174599</v>
      </c>
      <c r="AG188" s="193"/>
      <c r="AK188" s="1772"/>
      <c r="AL188" s="1772"/>
      <c r="AM188" s="1772"/>
      <c r="AN188" s="1772"/>
      <c r="AO188" s="1772"/>
    </row>
    <row r="189" spans="1:41" ht="18" customHeight="1" x14ac:dyDescent="0.2">
      <c r="B189" s="3"/>
      <c r="C189" s="3"/>
      <c r="D189" s="3"/>
      <c r="E189" s="3"/>
      <c r="F189" s="3"/>
      <c r="G189" s="3"/>
      <c r="H189" s="3"/>
      <c r="I189" s="3"/>
      <c r="J189" s="3"/>
      <c r="K189" s="3"/>
      <c r="L189" s="3"/>
      <c r="M189" s="3"/>
      <c r="N189" s="3"/>
      <c r="R189" s="1773"/>
      <c r="T189" s="254">
        <f>+T187+X187+AB187</f>
        <v>-36904477099</v>
      </c>
      <c r="V189" s="39"/>
      <c r="X189" s="254"/>
      <c r="Z189" s="39"/>
      <c r="AD189" s="182"/>
    </row>
    <row r="190" spans="1:41" x14ac:dyDescent="0.2">
      <c r="R190" s="1773"/>
    </row>
    <row r="191" spans="1:41" ht="15.75" x14ac:dyDescent="0.2">
      <c r="D191" s="188"/>
    </row>
    <row r="192" spans="1:41" ht="19.7" customHeight="1" x14ac:dyDescent="0.2">
      <c r="B192" s="1774"/>
      <c r="C192" s="1774"/>
      <c r="D192" s="1774"/>
      <c r="E192" s="1774"/>
      <c r="F192" s="1774"/>
      <c r="G192" s="1774"/>
      <c r="H192" s="1774"/>
      <c r="I192" s="1774"/>
      <c r="J192" s="1774"/>
      <c r="T192" s="254"/>
    </row>
  </sheetData>
  <mergeCells count="497">
    <mergeCell ref="A1:AF1"/>
    <mergeCell ref="P2:AF2"/>
    <mergeCell ref="A2:O4"/>
    <mergeCell ref="P3:S4"/>
    <mergeCell ref="T3:W4"/>
    <mergeCell ref="X3:AA4"/>
    <mergeCell ref="AB3:AE4"/>
    <mergeCell ref="AF3:AF4"/>
    <mergeCell ref="D7:D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C11:C12"/>
    <mergeCell ref="D11:D13"/>
    <mergeCell ref="B11:B15"/>
    <mergeCell ref="C14:C15"/>
    <mergeCell ref="D14:D15"/>
    <mergeCell ref="P11:P15"/>
    <mergeCell ref="Q11:Q15"/>
    <mergeCell ref="R11:R15"/>
    <mergeCell ref="S11:S15"/>
    <mergeCell ref="T11:T15"/>
    <mergeCell ref="U11:U15"/>
    <mergeCell ref="V11:V15"/>
    <mergeCell ref="W11:W15"/>
    <mergeCell ref="X11:X15"/>
    <mergeCell ref="Y11:Y15"/>
    <mergeCell ref="Z11:Z15"/>
    <mergeCell ref="AA11:AA15"/>
    <mergeCell ref="AB11:AB15"/>
    <mergeCell ref="AC11:AC15"/>
    <mergeCell ref="AD11:AD15"/>
    <mergeCell ref="AE11:AE15"/>
    <mergeCell ref="AF11:AF15"/>
    <mergeCell ref="Z19:Z22"/>
    <mergeCell ref="AA19:AA22"/>
    <mergeCell ref="AB19:AB22"/>
    <mergeCell ref="AC19:AC22"/>
    <mergeCell ref="AD19:AD22"/>
    <mergeCell ref="D19:D21"/>
    <mergeCell ref="B19:B22"/>
    <mergeCell ref="C19:C22"/>
    <mergeCell ref="P19:P22"/>
    <mergeCell ref="Q19:Q22"/>
    <mergeCell ref="R19:R22"/>
    <mergeCell ref="S19:S22"/>
    <mergeCell ref="T19:T22"/>
    <mergeCell ref="U19:U22"/>
    <mergeCell ref="AE19:AE22"/>
    <mergeCell ref="AF19:AF22"/>
    <mergeCell ref="D25:D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V19:V22"/>
    <mergeCell ref="W19:W22"/>
    <mergeCell ref="X19:X22"/>
    <mergeCell ref="Y19:Y22"/>
    <mergeCell ref="C25:C28"/>
    <mergeCell ref="B32:B33"/>
    <mergeCell ref="C32:C33"/>
    <mergeCell ref="D32:D33"/>
    <mergeCell ref="I32:I33"/>
    <mergeCell ref="J32:J33"/>
    <mergeCell ref="K32:K33"/>
    <mergeCell ref="L32:L33"/>
    <mergeCell ref="M32:M33"/>
    <mergeCell ref="AD32:AD33"/>
    <mergeCell ref="AE32:AE33"/>
    <mergeCell ref="N32:N33"/>
    <mergeCell ref="O32:O33"/>
    <mergeCell ref="P32:P33"/>
    <mergeCell ref="Q32:Q33"/>
    <mergeCell ref="R32:R33"/>
    <mergeCell ref="S32:S33"/>
    <mergeCell ref="T32:T33"/>
    <mergeCell ref="U32:U33"/>
    <mergeCell ref="V32:V33"/>
    <mergeCell ref="AF32:AF33"/>
    <mergeCell ref="C35:C40"/>
    <mergeCell ref="D39:D40"/>
    <mergeCell ref="B35:B41"/>
    <mergeCell ref="T35:T41"/>
    <mergeCell ref="U35:U41"/>
    <mergeCell ref="V35:V41"/>
    <mergeCell ref="W35:W41"/>
    <mergeCell ref="X35:X41"/>
    <mergeCell ref="Y35:Y41"/>
    <mergeCell ref="Z35:Z41"/>
    <mergeCell ref="AA35:AA41"/>
    <mergeCell ref="AB35:AB41"/>
    <mergeCell ref="AC35:AC41"/>
    <mergeCell ref="AD35:AD41"/>
    <mergeCell ref="AE35:AE41"/>
    <mergeCell ref="AF35:AF41"/>
    <mergeCell ref="W32:W33"/>
    <mergeCell ref="X32:X33"/>
    <mergeCell ref="Y32:Y33"/>
    <mergeCell ref="Z32:Z33"/>
    <mergeCell ref="AA32:AA33"/>
    <mergeCell ref="AB32:AB33"/>
    <mergeCell ref="AC32:AC33"/>
    <mergeCell ref="AA43:AA45"/>
    <mergeCell ref="AB43:AB45"/>
    <mergeCell ref="AC43:AC45"/>
    <mergeCell ref="AD43:AD45"/>
    <mergeCell ref="B43:B45"/>
    <mergeCell ref="C43:C45"/>
    <mergeCell ref="D43:D45"/>
    <mergeCell ref="P43:P45"/>
    <mergeCell ref="Q43:Q45"/>
    <mergeCell ref="R43:R45"/>
    <mergeCell ref="S43:S45"/>
    <mergeCell ref="T43:T45"/>
    <mergeCell ref="U43:U45"/>
    <mergeCell ref="V55:V59"/>
    <mergeCell ref="W55:W59"/>
    <mergeCell ref="AE43:AE45"/>
    <mergeCell ref="AF43:AF45"/>
    <mergeCell ref="B50:B53"/>
    <mergeCell ref="C50:C53"/>
    <mergeCell ref="T50:T53"/>
    <mergeCell ref="U50:U53"/>
    <mergeCell ref="V50:V53"/>
    <mergeCell ref="W50:W53"/>
    <mergeCell ref="X50:X53"/>
    <mergeCell ref="Y50:Y53"/>
    <mergeCell ref="Z50:Z53"/>
    <mergeCell ref="AA50:AA53"/>
    <mergeCell ref="AB50:AB53"/>
    <mergeCell ref="AC50:AC53"/>
    <mergeCell ref="AD50:AD53"/>
    <mergeCell ref="AE50:AE53"/>
    <mergeCell ref="AF50:AF53"/>
    <mergeCell ref="V43:V45"/>
    <mergeCell ref="W43:W45"/>
    <mergeCell ref="X43:X45"/>
    <mergeCell ref="Y43:Y45"/>
    <mergeCell ref="Z43:Z45"/>
    <mergeCell ref="X55:X59"/>
    <mergeCell ref="Y55:Y59"/>
    <mergeCell ref="Z55:Z59"/>
    <mergeCell ref="AA55:AA59"/>
    <mergeCell ref="AB55:AB59"/>
    <mergeCell ref="AC55:AC59"/>
    <mergeCell ref="AD55:AD59"/>
    <mergeCell ref="AE55:AE59"/>
    <mergeCell ref="AF55:AF59"/>
    <mergeCell ref="B55:B61"/>
    <mergeCell ref="C55:C61"/>
    <mergeCell ref="D60:D61"/>
    <mergeCell ref="P60:P61"/>
    <mergeCell ref="Q60:Q61"/>
    <mergeCell ref="R60:R61"/>
    <mergeCell ref="S60:S61"/>
    <mergeCell ref="T60:T61"/>
    <mergeCell ref="U60:U61"/>
    <mergeCell ref="D55:D56"/>
    <mergeCell ref="P55:P59"/>
    <mergeCell ref="Q55:Q59"/>
    <mergeCell ref="R55:R59"/>
    <mergeCell ref="S55:S59"/>
    <mergeCell ref="T55:T59"/>
    <mergeCell ref="U55:U59"/>
    <mergeCell ref="AD66:AD67"/>
    <mergeCell ref="AE66:AE67"/>
    <mergeCell ref="AF66:AF67"/>
    <mergeCell ref="V60:V61"/>
    <mergeCell ref="W60:W61"/>
    <mergeCell ref="X60:X61"/>
    <mergeCell ref="Y60:Y61"/>
    <mergeCell ref="Z60:Z61"/>
    <mergeCell ref="AA60:AA61"/>
    <mergeCell ref="AB60:AB61"/>
    <mergeCell ref="AD60:AD61"/>
    <mergeCell ref="AE60:AE61"/>
    <mergeCell ref="B69:B73"/>
    <mergeCell ref="P69:P73"/>
    <mergeCell ref="Q69:Q73"/>
    <mergeCell ref="R69:R73"/>
    <mergeCell ref="S69:S73"/>
    <mergeCell ref="T69:T73"/>
    <mergeCell ref="U69:U73"/>
    <mergeCell ref="AF60:AF61"/>
    <mergeCell ref="B63:B67"/>
    <mergeCell ref="C63:C67"/>
    <mergeCell ref="D66:D67"/>
    <mergeCell ref="P66:P67"/>
    <mergeCell ref="Q66:Q67"/>
    <mergeCell ref="R66:R67"/>
    <mergeCell ref="S66:S67"/>
    <mergeCell ref="T66:T67"/>
    <mergeCell ref="U66:U67"/>
    <mergeCell ref="V66:V67"/>
    <mergeCell ref="W66:W67"/>
    <mergeCell ref="X66:X67"/>
    <mergeCell ref="Y66:Y67"/>
    <mergeCell ref="AA66:AA67"/>
    <mergeCell ref="AB66:AB67"/>
    <mergeCell ref="AC66:AC67"/>
    <mergeCell ref="X69:X73"/>
    <mergeCell ref="Y69:Y73"/>
    <mergeCell ref="Z69:Z73"/>
    <mergeCell ref="AA69:AA73"/>
    <mergeCell ref="AB69:AB73"/>
    <mergeCell ref="AC69:AC73"/>
    <mergeCell ref="AD69:AD73"/>
    <mergeCell ref="C70:C72"/>
    <mergeCell ref="D70:D72"/>
    <mergeCell ref="AE69:AE73"/>
    <mergeCell ref="AF69:AF73"/>
    <mergeCell ref="C78:C79"/>
    <mergeCell ref="D78:D79"/>
    <mergeCell ref="D82:D83"/>
    <mergeCell ref="P82:P83"/>
    <mergeCell ref="Q82:Q83"/>
    <mergeCell ref="R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V69:V73"/>
    <mergeCell ref="W69:W73"/>
    <mergeCell ref="X86:X87"/>
    <mergeCell ref="Y86:Y87"/>
    <mergeCell ref="Z86:Z87"/>
    <mergeCell ref="AA86:AA87"/>
    <mergeCell ref="AB86:AB87"/>
    <mergeCell ref="AC86:AC87"/>
    <mergeCell ref="AD86:AD87"/>
    <mergeCell ref="AE86:AE87"/>
    <mergeCell ref="C86:C87"/>
    <mergeCell ref="D86:D87"/>
    <mergeCell ref="P86:P87"/>
    <mergeCell ref="Q86:Q87"/>
    <mergeCell ref="R86:R87"/>
    <mergeCell ref="S86:S87"/>
    <mergeCell ref="T86:T87"/>
    <mergeCell ref="U86:U87"/>
    <mergeCell ref="V86:V87"/>
    <mergeCell ref="AF86:AF87"/>
    <mergeCell ref="B85:B88"/>
    <mergeCell ref="B90:B97"/>
    <mergeCell ref="D100:D101"/>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B100:B105"/>
    <mergeCell ref="C100:C105"/>
    <mergeCell ref="W86:W87"/>
    <mergeCell ref="X107:X110"/>
    <mergeCell ref="Y107:Y110"/>
    <mergeCell ref="Z107:Z110"/>
    <mergeCell ref="AA107:AA110"/>
    <mergeCell ref="AB107:AB110"/>
    <mergeCell ref="AC107:AC110"/>
    <mergeCell ref="AD107:AD110"/>
    <mergeCell ref="D107:D108"/>
    <mergeCell ref="B107:B110"/>
    <mergeCell ref="C107:C110"/>
    <mergeCell ref="P107:P110"/>
    <mergeCell ref="Q107:Q110"/>
    <mergeCell ref="R107:R110"/>
    <mergeCell ref="S107:S110"/>
    <mergeCell ref="T107:T110"/>
    <mergeCell ref="U107:U110"/>
    <mergeCell ref="AE107:AE110"/>
    <mergeCell ref="AF107:AF110"/>
    <mergeCell ref="D113:D115"/>
    <mergeCell ref="B113:B118"/>
    <mergeCell ref="C113:C118"/>
    <mergeCell ref="P113:P118"/>
    <mergeCell ref="Q113:Q118"/>
    <mergeCell ref="R113:R118"/>
    <mergeCell ref="S113:S118"/>
    <mergeCell ref="T113:T118"/>
    <mergeCell ref="U113:U118"/>
    <mergeCell ref="V113:V118"/>
    <mergeCell ref="W113:W118"/>
    <mergeCell ref="X113:X118"/>
    <mergeCell ref="Y113:Y118"/>
    <mergeCell ref="Z113:Z118"/>
    <mergeCell ref="AA113:AA118"/>
    <mergeCell ref="AB113:AB118"/>
    <mergeCell ref="AC113:AC118"/>
    <mergeCell ref="AD113:AD118"/>
    <mergeCell ref="AE113:AE118"/>
    <mergeCell ref="AF113:AF118"/>
    <mergeCell ref="V107:V110"/>
    <mergeCell ref="W107:W110"/>
    <mergeCell ref="B122:B132"/>
    <mergeCell ref="C122:C132"/>
    <mergeCell ref="I131:I132"/>
    <mergeCell ref="J131:J132"/>
    <mergeCell ref="K131:K132"/>
    <mergeCell ref="L131:L132"/>
    <mergeCell ref="M131:M132"/>
    <mergeCell ref="N131:N132"/>
    <mergeCell ref="O131:O132"/>
    <mergeCell ref="AF134:AF135"/>
    <mergeCell ref="D138:D141"/>
    <mergeCell ref="I138:I141"/>
    <mergeCell ref="P138:P141"/>
    <mergeCell ref="Q138:Q141"/>
    <mergeCell ref="R138:R141"/>
    <mergeCell ref="S138:S141"/>
    <mergeCell ref="T138:T141"/>
    <mergeCell ref="U138:U141"/>
    <mergeCell ref="V138:V141"/>
    <mergeCell ref="W138:W141"/>
    <mergeCell ref="X138:X141"/>
    <mergeCell ref="Y138:Y141"/>
    <mergeCell ref="Z138:Z141"/>
    <mergeCell ref="AA138:AA141"/>
    <mergeCell ref="AB138:AB141"/>
    <mergeCell ref="AC138:AC141"/>
    <mergeCell ref="AD138:AD141"/>
    <mergeCell ref="AE138:AE141"/>
    <mergeCell ref="AF138:AF141"/>
    <mergeCell ref="V134:V135"/>
    <mergeCell ref="W134:W135"/>
    <mergeCell ref="X134:X135"/>
    <mergeCell ref="Y134:Y135"/>
    <mergeCell ref="AE134:AE135"/>
    <mergeCell ref="Z134:Z135"/>
    <mergeCell ref="AA134:AA135"/>
    <mergeCell ref="AB134:AB135"/>
    <mergeCell ref="AC134:AC135"/>
    <mergeCell ref="AD134:AD135"/>
    <mergeCell ref="B134:B135"/>
    <mergeCell ref="C134:C135"/>
    <mergeCell ref="D134:D135"/>
    <mergeCell ref="P134:P135"/>
    <mergeCell ref="Q134:Q135"/>
    <mergeCell ref="R134:R135"/>
    <mergeCell ref="S134:S135"/>
    <mergeCell ref="T134:T135"/>
    <mergeCell ref="U134:U135"/>
    <mergeCell ref="X151:X152"/>
    <mergeCell ref="Y151:Y152"/>
    <mergeCell ref="Z151:Z152"/>
    <mergeCell ref="AA151:AA152"/>
    <mergeCell ref="AB151:AB152"/>
    <mergeCell ref="AC151:AC152"/>
    <mergeCell ref="C138:C145"/>
    <mergeCell ref="AD151:AD152"/>
    <mergeCell ref="B148:B152"/>
    <mergeCell ref="C148:C152"/>
    <mergeCell ref="D151:D152"/>
    <mergeCell ref="P151:P152"/>
    <mergeCell ref="Q151:Q152"/>
    <mergeCell ref="R151:R152"/>
    <mergeCell ref="S151:S152"/>
    <mergeCell ref="T151:T152"/>
    <mergeCell ref="V151:V152"/>
    <mergeCell ref="AE151:AE152"/>
    <mergeCell ref="AF151:AF152"/>
    <mergeCell ref="B154:B156"/>
    <mergeCell ref="C154:C156"/>
    <mergeCell ref="B158:B160"/>
    <mergeCell ref="C158:C160"/>
    <mergeCell ref="D158:D160"/>
    <mergeCell ref="P158:P160"/>
    <mergeCell ref="Q158:Q160"/>
    <mergeCell ref="R158:R160"/>
    <mergeCell ref="S158:S160"/>
    <mergeCell ref="T158:T160"/>
    <mergeCell ref="U158:U160"/>
    <mergeCell ref="V158:V160"/>
    <mergeCell ref="W158:W160"/>
    <mergeCell ref="X158:X160"/>
    <mergeCell ref="Z158:Z160"/>
    <mergeCell ref="AA158:AA160"/>
    <mergeCell ref="AB158:AB160"/>
    <mergeCell ref="AD158:AD160"/>
    <mergeCell ref="AE158:AE160"/>
    <mergeCell ref="AF158:AF160"/>
    <mergeCell ref="U151:U152"/>
    <mergeCell ref="W151:W152"/>
    <mergeCell ref="B162:B164"/>
    <mergeCell ref="C162:C164"/>
    <mergeCell ref="P162:P164"/>
    <mergeCell ref="Q162:Q164"/>
    <mergeCell ref="R162:R164"/>
    <mergeCell ref="S162:S164"/>
    <mergeCell ref="T162:T164"/>
    <mergeCell ref="U162:U164"/>
    <mergeCell ref="V162:V164"/>
    <mergeCell ref="W162:W164"/>
    <mergeCell ref="X162:X164"/>
    <mergeCell ref="Y162:Y164"/>
    <mergeCell ref="Z162:Z164"/>
    <mergeCell ref="AA162:AA164"/>
    <mergeCell ref="AB162:AB164"/>
    <mergeCell ref="AC162:AC164"/>
    <mergeCell ref="AD162:AD164"/>
    <mergeCell ref="AE162:AE164"/>
    <mergeCell ref="T176:T179"/>
    <mergeCell ref="U176:U179"/>
    <mergeCell ref="AF162:AF164"/>
    <mergeCell ref="B168:B169"/>
    <mergeCell ref="C168:C169"/>
    <mergeCell ref="B171:B174"/>
    <mergeCell ref="C171:C174"/>
    <mergeCell ref="P171:P174"/>
    <mergeCell ref="Q171:Q174"/>
    <mergeCell ref="R171:R174"/>
    <mergeCell ref="S171:S174"/>
    <mergeCell ref="T171:T174"/>
    <mergeCell ref="U171:U174"/>
    <mergeCell ref="V171:V174"/>
    <mergeCell ref="W171:W174"/>
    <mergeCell ref="X171:X174"/>
    <mergeCell ref="Y171:Y174"/>
    <mergeCell ref="Z171:Z174"/>
    <mergeCell ref="AA171:AA174"/>
    <mergeCell ref="AB171:AB174"/>
    <mergeCell ref="AC171:AC174"/>
    <mergeCell ref="AD171:AD174"/>
    <mergeCell ref="AE171:AE174"/>
    <mergeCell ref="AF171:AF174"/>
    <mergeCell ref="AE176:AE179"/>
    <mergeCell ref="AF176:AF179"/>
    <mergeCell ref="B181:B183"/>
    <mergeCell ref="C181:C183"/>
    <mergeCell ref="AK187:AO187"/>
    <mergeCell ref="AK188:AO188"/>
    <mergeCell ref="R189:R190"/>
    <mergeCell ref="B192:J192"/>
    <mergeCell ref="V176:V179"/>
    <mergeCell ref="W176:W179"/>
    <mergeCell ref="X176:X179"/>
    <mergeCell ref="Y176:Y179"/>
    <mergeCell ref="Z176:Z179"/>
    <mergeCell ref="AA176:AA179"/>
    <mergeCell ref="AB176:AB179"/>
    <mergeCell ref="AC176:AC179"/>
    <mergeCell ref="AD176:AD179"/>
    <mergeCell ref="B176:B179"/>
    <mergeCell ref="C176:C179"/>
    <mergeCell ref="D176:D179"/>
    <mergeCell ref="P176:P179"/>
    <mergeCell ref="Q176:Q179"/>
    <mergeCell ref="R176:R179"/>
    <mergeCell ref="S176:S179"/>
  </mergeCells>
  <pageMargins left="0.25" right="0.25" top="0.75" bottom="0.75" header="0.3" footer="0.3"/>
  <pageSetup paperSize="5" scale="45" orientation="landscape" horizontalDpi="300" verticalDpi="30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C12" zoomScale="164" zoomScaleNormal="164" workbookViewId="0">
      <selection activeCell="C12" sqref="C12"/>
    </sheetView>
  </sheetViews>
  <sheetFormatPr baseColWidth="10" defaultRowHeight="12.75" x14ac:dyDescent="0.2"/>
  <cols>
    <col min="1" max="1" width="50" style="336" customWidth="1"/>
    <col min="2" max="2" width="12" style="336" customWidth="1"/>
    <col min="3" max="3" width="11.85546875" style="336" bestFit="1" customWidth="1"/>
    <col min="4" max="6" width="11.85546875" bestFit="1" customWidth="1"/>
    <col min="7" max="7" width="9" bestFit="1" customWidth="1"/>
    <col min="8" max="8" width="8.140625" bestFit="1" customWidth="1"/>
    <col min="9" max="9" width="9" customWidth="1"/>
    <col min="10" max="10" width="9.28515625" customWidth="1"/>
  </cols>
  <sheetData>
    <row r="1" spans="1:9" ht="17.25" customHeight="1" x14ac:dyDescent="0.2">
      <c r="A1" s="1863" t="s">
        <v>620</v>
      </c>
      <c r="B1" s="1864"/>
      <c r="C1" s="1864"/>
      <c r="D1" s="1864"/>
      <c r="E1" s="1864"/>
      <c r="F1" s="1864"/>
      <c r="G1" s="1864"/>
    </row>
    <row r="2" spans="1:9" x14ac:dyDescent="0.2">
      <c r="A2" s="365" t="s">
        <v>618</v>
      </c>
      <c r="B2" s="365">
        <v>2016</v>
      </c>
      <c r="C2" s="365">
        <v>2017</v>
      </c>
      <c r="D2" s="366">
        <v>2018</v>
      </c>
      <c r="E2" s="365">
        <v>2019</v>
      </c>
      <c r="F2" s="365" t="s">
        <v>619</v>
      </c>
      <c r="G2" s="365" t="s">
        <v>624</v>
      </c>
    </row>
    <row r="3" spans="1:9" ht="25.5" x14ac:dyDescent="0.2">
      <c r="A3" s="80" t="str">
        <f>+'Anexo 1.MAO'!E6</f>
        <v>1. PLANIFICACION AMBIENTAL ARTICULADA E INTEGRAL</v>
      </c>
      <c r="B3" s="347">
        <f>+'Anexo 1.MAO'!AQ6/1000000</f>
        <v>1045.7584750000001</v>
      </c>
      <c r="C3" s="347">
        <f>+'Anexo 1.MAO'!BQ6/1000000</f>
        <v>1951.3343219999999</v>
      </c>
      <c r="D3" s="347">
        <f>+'Anexo 1.MAO'!BU6/1000000</f>
        <v>3908.9677550000001</v>
      </c>
      <c r="E3" s="347">
        <f>+'Anexo 1.MAO'!BY6/1000000</f>
        <v>4067.8606679999998</v>
      </c>
      <c r="F3" s="347">
        <f t="shared" ref="F3:F10" si="0">SUM(B3:E3)</f>
        <v>10973.92122</v>
      </c>
      <c r="G3" s="347">
        <f>+F3/F11*100</f>
        <v>18.801309083968295</v>
      </c>
      <c r="I3" s="337"/>
    </row>
    <row r="4" spans="1:9" x14ac:dyDescent="0.2">
      <c r="A4" s="80" t="str">
        <f>+'Anexo 1.MAO'!E47</f>
        <v>3. GESTION DEL RECURSO HIDRICO</v>
      </c>
      <c r="B4" s="347">
        <f>+'Anexo 1.MAO'!AQ47/1000000</f>
        <v>3681.0266710000001</v>
      </c>
      <c r="C4" s="347">
        <f>+'Anexo 1.MAO'!BQ47/1000000</f>
        <v>4988.7480390000001</v>
      </c>
      <c r="D4" s="347">
        <f>+'Anexo 1.MAO'!BU47/1000000</f>
        <v>4754.6809489999996</v>
      </c>
      <c r="E4" s="347">
        <f>+'Anexo 1.MAO'!BY47/1000000</f>
        <v>4970.9509609999996</v>
      </c>
      <c r="F4" s="347">
        <f t="shared" si="0"/>
        <v>18395.406619999998</v>
      </c>
      <c r="G4" s="347">
        <f>+F4/F11*100</f>
        <v>31.516330275596466</v>
      </c>
      <c r="I4" s="337"/>
    </row>
    <row r="5" spans="1:9" x14ac:dyDescent="0.2">
      <c r="A5" s="80" t="str">
        <f>+'Anexo 1.MAO'!E20</f>
        <v>2. CAMBIO CLIMATICO Y GESTION DEL RIESGO</v>
      </c>
      <c r="B5" s="347">
        <f>+'Anexo 1.MAO'!AQ20/1000000</f>
        <v>556.738427</v>
      </c>
      <c r="C5" s="347">
        <f>+'Anexo 1.MAO'!BQ20/1000000</f>
        <v>639.70000000000005</v>
      </c>
      <c r="D5" s="347">
        <f>+'Anexo 1.MAO'!BU20/1000000</f>
        <v>643.4</v>
      </c>
      <c r="E5" s="347">
        <f>+'Anexo 1.MAO'!BY20/1000000</f>
        <v>717.4</v>
      </c>
      <c r="F5" s="347">
        <f t="shared" si="0"/>
        <v>2557.2384270000002</v>
      </c>
      <c r="G5" s="347">
        <f>+F5/F11*100</f>
        <v>4.381244324936743</v>
      </c>
      <c r="I5" s="337"/>
    </row>
    <row r="6" spans="1:9" ht="25.5" x14ac:dyDescent="0.2">
      <c r="A6" s="80" t="str">
        <f>+'Anexo 1.MAO'!E77</f>
        <v>4. GESTION INTEGRAL DE LA BIODIVERSIDAD Y SUS SERVICIOS ECOSISTEMICOS</v>
      </c>
      <c r="B6" s="347">
        <f>+'Anexo 1.MAO'!AQ77/1000000</f>
        <v>2722</v>
      </c>
      <c r="C6" s="347">
        <f>+'Anexo 1.MAO'!BQ77/1000000</f>
        <v>1917.36103</v>
      </c>
      <c r="D6" s="347">
        <f>+'Anexo 1.MAO'!BU77/1000000</f>
        <v>1569</v>
      </c>
      <c r="E6" s="347">
        <f>+'Anexo 1.MAO'!BY77/1000000</f>
        <v>1349.2307800000001</v>
      </c>
      <c r="F6" s="347">
        <f t="shared" si="0"/>
        <v>7557.5918099999999</v>
      </c>
      <c r="G6" s="347">
        <f>+F6/F11*100</f>
        <v>12.948208457275348</v>
      </c>
      <c r="I6" s="337"/>
    </row>
    <row r="7" spans="1:9" ht="25.5" x14ac:dyDescent="0.2">
      <c r="A7" s="80" t="str">
        <f>+'Anexo 1.MAO'!E170</f>
        <v>7. FOMENTO A LA PRODUCCION Y CONSUMO SOSTENIBLE EN LOS SECTORES PRODUCTIVOS</v>
      </c>
      <c r="B7" s="347">
        <f>+'Anexo 1.MAO'!AQ170/1000000</f>
        <v>260</v>
      </c>
      <c r="C7" s="347">
        <f>+'Anexo 1.MAO'!BQ170/1000000</f>
        <v>430.6</v>
      </c>
      <c r="D7" s="347">
        <f>+'Anexo 1.MAO'!BU170/1000000</f>
        <v>491.84800000000001</v>
      </c>
      <c r="E7" s="347">
        <f>+'Anexo 1.MAO'!BY170/1000000</f>
        <v>658.34496000000001</v>
      </c>
      <c r="F7" s="347">
        <f t="shared" si="0"/>
        <v>1840.7929600000002</v>
      </c>
      <c r="G7" s="347">
        <f>+F7/F11*100</f>
        <v>3.1537785543309096</v>
      </c>
      <c r="I7" s="337"/>
    </row>
    <row r="8" spans="1:9" ht="25.5" x14ac:dyDescent="0.2">
      <c r="A8" s="80" t="str">
        <f>+'Anexo 1.MAO'!E105</f>
        <v>5. GOBERNANZA EN EL USO Y APROVECHAMIENTO DE LOS RECURSOS NATURALES Y EL AMBIENTE</v>
      </c>
      <c r="B8" s="347">
        <f>+'Anexo 1.MAO'!AQ105/1000000</f>
        <v>2212.945608</v>
      </c>
      <c r="C8" s="347">
        <f>+'Anexo 1.MAO'!BQ105/1000000</f>
        <v>2313.6190000000001</v>
      </c>
      <c r="D8" s="347">
        <f>+'Anexo 1.MAO'!BU105/1000000</f>
        <v>2418.6523299999999</v>
      </c>
      <c r="E8" s="347">
        <f>+'Anexo 1.MAO'!BY105/1000000</f>
        <v>2540.4807529999998</v>
      </c>
      <c r="F8" s="347">
        <f t="shared" si="0"/>
        <v>9485.6976910000012</v>
      </c>
      <c r="G8" s="347">
        <f>+F8/F11*100</f>
        <v>16.251577771539296</v>
      </c>
      <c r="I8" s="337"/>
    </row>
    <row r="9" spans="1:9" ht="25.5" x14ac:dyDescent="0.2">
      <c r="A9" s="80" t="str">
        <f>+'Anexo 1.MAO'!E183</f>
        <v xml:space="preserve">8. EDUCACION AMBIENTAL, PARTICIPACION Y FORTALECIMIENTO ORGANIZACIONAL </v>
      </c>
      <c r="B9" s="347">
        <f>+'Anexo 1.MAO'!AQ183/1000000</f>
        <v>516</v>
      </c>
      <c r="C9" s="347">
        <f>+'Anexo 1.MAO'!BQ183/1000000</f>
        <v>527</v>
      </c>
      <c r="D9" s="347">
        <f>+'Anexo 1.MAO'!BU183/1000000</f>
        <v>543</v>
      </c>
      <c r="E9" s="347">
        <f>+'Anexo 1.MAO'!BY183/1000000</f>
        <v>553</v>
      </c>
      <c r="F9" s="347">
        <f t="shared" si="0"/>
        <v>2139</v>
      </c>
      <c r="G9" s="347">
        <f>+F9/F11*100</f>
        <v>3.6646882481090186</v>
      </c>
      <c r="I9" s="337"/>
    </row>
    <row r="10" spans="1:9" ht="25.5" x14ac:dyDescent="0.2">
      <c r="A10" s="80" t="str">
        <f>+'Anexo 1.MAO'!E133</f>
        <v>6. DESARROLLO INSTITUCIONAL Y FORTALECIMIENTO A LA GESTION POR PROCESOS</v>
      </c>
      <c r="B10" s="347">
        <f>+'Anexo 1.MAO'!AQ133/1000000</f>
        <v>1056.9108249999999</v>
      </c>
      <c r="C10" s="347">
        <f>+'Anexo 1.MAO'!BQ133/1000000</f>
        <v>1377.2348689999999</v>
      </c>
      <c r="D10" s="347">
        <f>+'Anexo 1.MAO'!BU133/1000000</f>
        <v>1386.2770370000001</v>
      </c>
      <c r="E10" s="347">
        <f>+'Anexo 1.MAO'!BY133/1000000</f>
        <v>1597.785646</v>
      </c>
      <c r="F10" s="347">
        <f t="shared" si="0"/>
        <v>5418.2083769999999</v>
      </c>
      <c r="G10" s="347">
        <f>+F10/F11*100</f>
        <v>9.2828632842439163</v>
      </c>
      <c r="I10" s="337"/>
    </row>
    <row r="11" spans="1:9" x14ac:dyDescent="0.2">
      <c r="A11" s="367" t="s">
        <v>17</v>
      </c>
      <c r="B11" s="368">
        <f t="shared" ref="B11:G11" si="1">SUM(B3:B10)</f>
        <v>12051.380005999999</v>
      </c>
      <c r="C11" s="368">
        <f t="shared" si="1"/>
        <v>14145.59726</v>
      </c>
      <c r="D11" s="368">
        <f t="shared" si="1"/>
        <v>15715.826071</v>
      </c>
      <c r="E11" s="368">
        <f t="shared" si="1"/>
        <v>16455.053767999998</v>
      </c>
      <c r="F11" s="368">
        <f t="shared" si="1"/>
        <v>58367.857105000003</v>
      </c>
      <c r="G11" s="368">
        <f t="shared" si="1"/>
        <v>99.999999999999986</v>
      </c>
      <c r="H11" s="337"/>
    </row>
    <row r="12" spans="1:9" x14ac:dyDescent="0.2">
      <c r="F12" s="340"/>
      <c r="G12" s="340"/>
      <c r="I12" s="337"/>
    </row>
  </sheetData>
  <mergeCells count="1">
    <mergeCell ref="A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C12" zoomScale="158" zoomScaleNormal="158" workbookViewId="0">
      <selection activeCell="C12" sqref="C12"/>
    </sheetView>
  </sheetViews>
  <sheetFormatPr baseColWidth="10" defaultColWidth="11.42578125" defaultRowHeight="12.75" x14ac:dyDescent="0.2"/>
  <cols>
    <col min="1" max="1" width="29.42578125" customWidth="1"/>
    <col min="2" max="2" width="14.42578125" bestFit="1" customWidth="1"/>
    <col min="3" max="3" width="13.7109375" customWidth="1"/>
    <col min="4" max="4" width="14" customWidth="1"/>
    <col min="5" max="5" width="13.85546875" customWidth="1"/>
    <col min="6" max="6" width="16" customWidth="1"/>
  </cols>
  <sheetData>
    <row r="1" spans="1:6" x14ac:dyDescent="0.2">
      <c r="A1" t="s">
        <v>193</v>
      </c>
    </row>
    <row r="2" spans="1:6" x14ac:dyDescent="0.2">
      <c r="B2">
        <v>2016</v>
      </c>
      <c r="C2">
        <v>2017</v>
      </c>
      <c r="D2">
        <v>2018</v>
      </c>
      <c r="E2">
        <v>2019</v>
      </c>
    </row>
    <row r="3" spans="1:6" ht="14.25" x14ac:dyDescent="0.2">
      <c r="A3" s="55" t="s">
        <v>193</v>
      </c>
      <c r="B3" s="56">
        <v>249047055</v>
      </c>
      <c r="C3" s="56">
        <v>261450000</v>
      </c>
      <c r="D3" s="56">
        <v>274522500</v>
      </c>
      <c r="E3" s="56">
        <v>288248625</v>
      </c>
      <c r="F3" s="57"/>
    </row>
    <row r="4" spans="1:6" x14ac:dyDescent="0.2">
      <c r="A4" t="s">
        <v>194</v>
      </c>
      <c r="B4" s="58">
        <f>+ROUND(B3*0.1,0)</f>
        <v>24904706</v>
      </c>
      <c r="C4" s="58">
        <f>+ROUND(C3*0.1,0)</f>
        <v>26145000</v>
      </c>
      <c r="D4" s="58">
        <f>+ROUND(D3*0.1,0)</f>
        <v>27452250</v>
      </c>
      <c r="E4" s="58">
        <f>+ROUND(E3*0.1,0)</f>
        <v>28824863</v>
      </c>
    </row>
    <row r="5" spans="1:6" x14ac:dyDescent="0.2">
      <c r="A5" t="s">
        <v>195</v>
      </c>
      <c r="B5" s="58">
        <f>+ROUND(B3*0.1,0)</f>
        <v>24904706</v>
      </c>
      <c r="C5" s="58">
        <f>+ROUND(C3*0.1,0)</f>
        <v>26145000</v>
      </c>
      <c r="D5" s="58">
        <f>+ROUND(D3*0.1,0)</f>
        <v>27452250</v>
      </c>
      <c r="E5" s="58">
        <f>+ROUND(E3*0.1,0)</f>
        <v>28824863</v>
      </c>
    </row>
    <row r="6" spans="1:6" x14ac:dyDescent="0.2">
      <c r="A6" t="s">
        <v>196</v>
      </c>
      <c r="B6" s="58">
        <f>+ROUND(B3*0.8,0)</f>
        <v>199237644</v>
      </c>
      <c r="C6" s="58">
        <f>+ROUND(C3*0.8,0)</f>
        <v>209160000</v>
      </c>
      <c r="D6" s="58">
        <f>+ROUND(D3*0.8,0)</f>
        <v>219618000</v>
      </c>
      <c r="E6" s="58">
        <f>+ROUND(E3*0.8,0)</f>
        <v>230598900</v>
      </c>
    </row>
    <row r="7" spans="1:6" x14ac:dyDescent="0.2">
      <c r="B7" s="59">
        <f>SUM(B4:B6)</f>
        <v>249047056</v>
      </c>
      <c r="C7" s="59">
        <f>SUM(C4:C6)</f>
        <v>261450000</v>
      </c>
      <c r="D7" s="59">
        <f>SUM(D4:D6)</f>
        <v>274522500</v>
      </c>
      <c r="E7" s="59">
        <f>SUM(E4:E6)</f>
        <v>288248626</v>
      </c>
    </row>
    <row r="10" spans="1:6" x14ac:dyDescent="0.2">
      <c r="A10" s="60" t="s">
        <v>197</v>
      </c>
    </row>
    <row r="11" spans="1:6" ht="14.25" x14ac:dyDescent="0.2">
      <c r="A11" s="55" t="s">
        <v>198</v>
      </c>
      <c r="B11" s="56">
        <v>30000000</v>
      </c>
      <c r="C11" s="56">
        <f>+B11*1</f>
        <v>30000000</v>
      </c>
      <c r="D11" s="56">
        <f>+C11*1</f>
        <v>30000000</v>
      </c>
      <c r="E11" s="56">
        <f>+D11*1</f>
        <v>30000000</v>
      </c>
      <c r="F11" s="57"/>
    </row>
    <row r="12" spans="1:6" x14ac:dyDescent="0.2">
      <c r="A12" t="s">
        <v>194</v>
      </c>
      <c r="B12" s="58">
        <f>+ROUND(B11*0.1,0)</f>
        <v>3000000</v>
      </c>
      <c r="C12" s="58">
        <f>+ROUND(C11*0.1,0)</f>
        <v>3000000</v>
      </c>
      <c r="D12" s="58">
        <f>+ROUND(D11*0.1,0)</f>
        <v>3000000</v>
      </c>
      <c r="E12" s="58">
        <f>+ROUND(E11*0.1,0)</f>
        <v>3000000</v>
      </c>
    </row>
    <row r="13" spans="1:6" x14ac:dyDescent="0.2">
      <c r="A13" t="s">
        <v>195</v>
      </c>
      <c r="B13" s="58">
        <f>+ROUND(B11*0.1,0)</f>
        <v>3000000</v>
      </c>
      <c r="C13" s="58">
        <f>+ROUND(C11*0.1,0)</f>
        <v>3000000</v>
      </c>
      <c r="D13" s="58">
        <f>+ROUND(D11*0.1,0)</f>
        <v>3000000</v>
      </c>
      <c r="E13" s="58">
        <f>+ROUND(E11*0.1,0)</f>
        <v>3000000</v>
      </c>
    </row>
    <row r="14" spans="1:6" x14ac:dyDescent="0.2">
      <c r="A14" t="s">
        <v>196</v>
      </c>
      <c r="B14" s="58">
        <f>+ROUND(B11*0.8,0)</f>
        <v>24000000</v>
      </c>
      <c r="C14" s="58">
        <f>+ROUND(C11*0.8,0)</f>
        <v>24000000</v>
      </c>
      <c r="D14" s="58">
        <f>+ROUND(D11*0.8,0)</f>
        <v>24000000</v>
      </c>
      <c r="E14" s="58">
        <f>+ROUND(E11*0.8,0)</f>
        <v>24000000</v>
      </c>
    </row>
    <row r="15" spans="1:6" x14ac:dyDescent="0.2">
      <c r="B15" s="59">
        <f>SUM(B12:B14)</f>
        <v>30000000</v>
      </c>
      <c r="C15" s="59">
        <f>SUM(C12:C14)</f>
        <v>30000000</v>
      </c>
      <c r="D15" s="59">
        <f>SUM(D12:D14)</f>
        <v>30000000</v>
      </c>
      <c r="E15" s="59">
        <f>SUM(E12:E14)</f>
        <v>30000000</v>
      </c>
    </row>
    <row r="18" spans="1:5" x14ac:dyDescent="0.2">
      <c r="A18" t="s">
        <v>4</v>
      </c>
      <c r="B18" s="51">
        <f>+B14+B6</f>
        <v>223237644</v>
      </c>
      <c r="C18" s="51">
        <f>+C14+C6</f>
        <v>233160000</v>
      </c>
      <c r="D18" s="51">
        <f>+D14+D6</f>
        <v>243618000</v>
      </c>
      <c r="E18" s="51">
        <f>+E14+E6</f>
        <v>254598900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C12" workbookViewId="0">
      <selection activeCell="C12" sqref="C12"/>
    </sheetView>
  </sheetViews>
  <sheetFormatPr baseColWidth="10" defaultColWidth="11.42578125" defaultRowHeight="12.75" x14ac:dyDescent="0.2"/>
  <cols>
    <col min="1" max="1" width="32.7109375" customWidth="1"/>
    <col min="2" max="5" width="14.42578125" bestFit="1" customWidth="1"/>
    <col min="6" max="6" width="11.140625" bestFit="1" customWidth="1"/>
  </cols>
  <sheetData>
    <row r="1" spans="1:6" x14ac:dyDescent="0.2">
      <c r="B1">
        <v>2016</v>
      </c>
      <c r="C1">
        <v>2017</v>
      </c>
      <c r="D1">
        <v>2018</v>
      </c>
      <c r="E1">
        <v>2019</v>
      </c>
    </row>
    <row r="2" spans="1:6" ht="14.25" x14ac:dyDescent="0.2">
      <c r="A2" s="55" t="s">
        <v>209</v>
      </c>
      <c r="B2" s="56">
        <v>223766090</v>
      </c>
      <c r="C2" s="56">
        <f>B2*1</f>
        <v>223766090</v>
      </c>
      <c r="D2" s="56">
        <f>C2*1</f>
        <v>223766090</v>
      </c>
      <c r="E2" s="56">
        <f>D2*1</f>
        <v>223766090</v>
      </c>
      <c r="F2" s="57"/>
    </row>
    <row r="4" spans="1:6" x14ac:dyDescent="0.2">
      <c r="A4" t="s">
        <v>210</v>
      </c>
      <c r="B4" s="58">
        <f>+ROUND(B2*0.2,0)</f>
        <v>44753218</v>
      </c>
      <c r="C4" s="58">
        <f>+ROUND(C2*0.2,0)</f>
        <v>44753218</v>
      </c>
      <c r="D4" s="58">
        <f>+ROUND(D2*0.2,0)</f>
        <v>44753218</v>
      </c>
      <c r="E4" s="58">
        <f>+ROUND(E2*0.2,0)</f>
        <v>44753218</v>
      </c>
    </row>
    <row r="5" spans="1:6" x14ac:dyDescent="0.2">
      <c r="A5" t="s">
        <v>211</v>
      </c>
      <c r="B5" s="58">
        <f>+ROUND(B2*0.8,0)</f>
        <v>179012872</v>
      </c>
      <c r="C5" s="58">
        <f>+ROUND(C2*0.8,0)</f>
        <v>179012872</v>
      </c>
      <c r="D5" s="58">
        <f>+ROUND(D2*0.8,0)</f>
        <v>179012872</v>
      </c>
      <c r="E5" s="58">
        <f>+ROUND(E2*0.8,0)</f>
        <v>179012872</v>
      </c>
    </row>
    <row r="6" spans="1:6" x14ac:dyDescent="0.2">
      <c r="B6" s="59">
        <f>SUM(B4:B5)</f>
        <v>223766090</v>
      </c>
      <c r="C6" s="59">
        <f>SUM(C4:C5)</f>
        <v>223766090</v>
      </c>
      <c r="D6" s="59">
        <f>SUM(D4:D5)</f>
        <v>223766090</v>
      </c>
      <c r="E6" s="59">
        <f>SUM(E4:E5)</f>
        <v>223766090</v>
      </c>
    </row>
    <row r="8" spans="1:6" x14ac:dyDescent="0.2">
      <c r="C8">
        <f>+C5/2</f>
        <v>89506436</v>
      </c>
      <c r="D8">
        <f>+D5/2</f>
        <v>89506436</v>
      </c>
      <c r="E8">
        <f>+E5/2</f>
        <v>89506436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C12" workbookViewId="0">
      <selection activeCell="C12" sqref="C12"/>
    </sheetView>
  </sheetViews>
  <sheetFormatPr baseColWidth="10" defaultColWidth="11.42578125" defaultRowHeight="12.75" x14ac:dyDescent="0.2"/>
  <cols>
    <col min="1" max="1" width="30.7109375" customWidth="1"/>
    <col min="2" max="4" width="17" bestFit="1" customWidth="1"/>
    <col min="5" max="5" width="16" customWidth="1"/>
  </cols>
  <sheetData>
    <row r="1" spans="1:6" x14ac:dyDescent="0.2">
      <c r="B1">
        <v>2016</v>
      </c>
      <c r="C1">
        <v>2017</v>
      </c>
      <c r="D1">
        <v>2018</v>
      </c>
      <c r="E1">
        <v>2019</v>
      </c>
    </row>
    <row r="2" spans="1:6" ht="14.25" x14ac:dyDescent="0.2">
      <c r="A2" s="55" t="s">
        <v>199</v>
      </c>
      <c r="B2" s="56">
        <v>2728792374</v>
      </c>
      <c r="C2" s="56">
        <v>2877776053</v>
      </c>
      <c r="D2" s="56">
        <v>3021664856</v>
      </c>
      <c r="E2" s="56">
        <v>3172748098</v>
      </c>
    </row>
    <row r="3" spans="1:6" x14ac:dyDescent="0.2">
      <c r="A3" t="s">
        <v>200</v>
      </c>
      <c r="B3" s="58">
        <f>+ROUND(B2*0.1,B50)</f>
        <v>272879237</v>
      </c>
      <c r="C3" s="58">
        <f>+ROUND(C2*0.1,C50)</f>
        <v>287777605</v>
      </c>
      <c r="D3" s="58">
        <f>+ROUND(D2*0.1,D50)</f>
        <v>302166486</v>
      </c>
      <c r="E3" s="58">
        <f>+ROUND(E2*0.1,E50)</f>
        <v>317274810</v>
      </c>
    </row>
    <row r="4" spans="1:6" x14ac:dyDescent="0.2">
      <c r="A4" t="s">
        <v>201</v>
      </c>
      <c r="B4" s="58">
        <f>+ROUND(B2*0.1,0)</f>
        <v>272879237</v>
      </c>
      <c r="C4" s="58">
        <f>+ROUND(C2*0.1,0)</f>
        <v>287777605</v>
      </c>
      <c r="D4" s="58">
        <f>+ROUND(D2*0.1,0)</f>
        <v>302166486</v>
      </c>
      <c r="E4" s="58">
        <f>+ROUND(E2*0.1,0)</f>
        <v>317274810</v>
      </c>
    </row>
    <row r="5" spans="1:6" x14ac:dyDescent="0.2">
      <c r="A5" t="s">
        <v>202</v>
      </c>
      <c r="B5" s="58">
        <f>+ROUND(B2*0.8,0)</f>
        <v>2183033899</v>
      </c>
      <c r="C5" s="58">
        <f>+ROUND(C2*0.8,0)</f>
        <v>2302220842</v>
      </c>
      <c r="D5" s="58">
        <f>+ROUND(D2*0.8,0)</f>
        <v>2417331885</v>
      </c>
      <c r="E5" s="58">
        <f>+ROUND(E2*0.8,0)</f>
        <v>2538198478</v>
      </c>
    </row>
    <row r="6" spans="1:6" x14ac:dyDescent="0.2">
      <c r="B6" s="59">
        <f>SUM(B3:B5)</f>
        <v>2728792373</v>
      </c>
      <c r="C6" s="59">
        <f>SUM(C3:C5)</f>
        <v>2877776052</v>
      </c>
      <c r="D6" s="59">
        <f>SUM(D3:D5)</f>
        <v>3021664857</v>
      </c>
      <c r="E6" s="59">
        <f>SUM(E3:E5)</f>
        <v>3172748098</v>
      </c>
    </row>
    <row r="9" spans="1:6" ht="14.25" x14ac:dyDescent="0.2">
      <c r="A9" s="55" t="s">
        <v>203</v>
      </c>
      <c r="B9" s="56">
        <v>800000000</v>
      </c>
      <c r="C9" s="56">
        <f>B9*1</f>
        <v>800000000</v>
      </c>
      <c r="D9" s="56">
        <f>C9*1</f>
        <v>800000000</v>
      </c>
      <c r="E9" s="56">
        <f>D9*1</f>
        <v>800000000</v>
      </c>
    </row>
    <row r="10" spans="1:6" x14ac:dyDescent="0.2">
      <c r="A10" t="s">
        <v>200</v>
      </c>
      <c r="B10" s="58">
        <f>+ROUND(B9*0.1,0)</f>
        <v>80000000</v>
      </c>
      <c r="C10" s="58">
        <f>+ROUND(C9*0.1,0)</f>
        <v>80000000</v>
      </c>
      <c r="D10" s="58">
        <f>+ROUND(D9*0.1,0)</f>
        <v>80000000</v>
      </c>
      <c r="E10" s="58">
        <f>+ROUND(E9*0.1,0)</f>
        <v>80000000</v>
      </c>
    </row>
    <row r="11" spans="1:6" x14ac:dyDescent="0.2">
      <c r="A11" t="s">
        <v>201</v>
      </c>
      <c r="B11" s="58">
        <f>+ROUND(B9*0.1,0)</f>
        <v>80000000</v>
      </c>
      <c r="C11" s="58">
        <f>+ROUND(C9*0.1,0)</f>
        <v>80000000</v>
      </c>
      <c r="D11" s="58">
        <f>+ROUND(D9*0.1,0)</f>
        <v>80000000</v>
      </c>
      <c r="E11" s="58">
        <f>+ROUND(E9*0.1,0)</f>
        <v>80000000</v>
      </c>
    </row>
    <row r="12" spans="1:6" x14ac:dyDescent="0.2">
      <c r="A12" t="s">
        <v>202</v>
      </c>
      <c r="B12" s="58">
        <f>+ROUND(B9*0.8,0)</f>
        <v>640000000</v>
      </c>
      <c r="C12" s="58">
        <f>+ROUND(C9*0.8,0)</f>
        <v>640000000</v>
      </c>
      <c r="D12" s="58">
        <f>+ROUND(D9*0.8,0)</f>
        <v>640000000</v>
      </c>
      <c r="E12" s="58">
        <f>+ROUND(E9*0.8,0)</f>
        <v>640000000</v>
      </c>
    </row>
    <row r="13" spans="1:6" x14ac:dyDescent="0.2">
      <c r="B13" s="59">
        <f>SUM(B10:B12)</f>
        <v>800000000</v>
      </c>
      <c r="C13" s="59">
        <f>SUM(C10:C12)</f>
        <v>800000000</v>
      </c>
      <c r="D13" s="59">
        <f>SUM(D10:D12)</f>
        <v>800000000</v>
      </c>
      <c r="E13" s="59">
        <f>SUM(E10:E12)</f>
        <v>800000000</v>
      </c>
    </row>
    <row r="15" spans="1:6" ht="14.25" x14ac:dyDescent="0.2">
      <c r="A15" s="55" t="s">
        <v>204</v>
      </c>
      <c r="B15" s="56">
        <v>494410351</v>
      </c>
      <c r="C15" s="56">
        <f>B15*1</f>
        <v>494410351</v>
      </c>
      <c r="D15" s="56">
        <f>C15*1</f>
        <v>494410351</v>
      </c>
      <c r="E15" s="56">
        <f>D15*1</f>
        <v>494410351</v>
      </c>
      <c r="F15" s="57"/>
    </row>
    <row r="16" spans="1:6" x14ac:dyDescent="0.2">
      <c r="A16" t="s">
        <v>205</v>
      </c>
      <c r="B16" s="58">
        <f>+ROUND(B15*0.4,0)</f>
        <v>197764140</v>
      </c>
      <c r="C16" s="58">
        <f>+ROUND(C15*0.4,0)</f>
        <v>197764140</v>
      </c>
      <c r="D16" s="58">
        <f>+ROUND(D15*0.4,0)</f>
        <v>197764140</v>
      </c>
      <c r="E16" s="58">
        <f>+ROUND(E15*0.4,0)</f>
        <v>197764140</v>
      </c>
    </row>
    <row r="17" spans="1:5" x14ac:dyDescent="0.2">
      <c r="A17" t="s">
        <v>206</v>
      </c>
    </row>
    <row r="18" spans="1:5" x14ac:dyDescent="0.2">
      <c r="A18" t="s">
        <v>207</v>
      </c>
      <c r="B18" s="58">
        <f>+ROUND(B16*0.1,0)</f>
        <v>19776414</v>
      </c>
      <c r="C18" s="58">
        <f>+ROUND(C16*0.1,0)</f>
        <v>19776414</v>
      </c>
      <c r="D18" s="58">
        <f>+ROUND(D16*0.1,0)</f>
        <v>19776414</v>
      </c>
      <c r="E18" s="58">
        <f>+ROUND(E16*0.1,0)</f>
        <v>19776414</v>
      </c>
    </row>
    <row r="19" spans="1:5" x14ac:dyDescent="0.2">
      <c r="A19" t="s">
        <v>208</v>
      </c>
      <c r="B19" s="58">
        <f>+ROUND(B16*0.9,0)</f>
        <v>177987726</v>
      </c>
      <c r="C19" s="58">
        <f>+ROUND(C16*0.9,0)</f>
        <v>177987726</v>
      </c>
      <c r="D19" s="58">
        <f>+ROUND(D16*0.9,0)</f>
        <v>177987726</v>
      </c>
      <c r="E19" s="58">
        <f>+ROUND(E16*0.9,0)</f>
        <v>177987726</v>
      </c>
    </row>
    <row r="20" spans="1:5" x14ac:dyDescent="0.2">
      <c r="B20" s="61">
        <f>SUM(B18:B19)</f>
        <v>197764140</v>
      </c>
      <c r="C20" s="61">
        <f>SUM(C18:C19)</f>
        <v>197764140</v>
      </c>
      <c r="D20" s="61">
        <f>SUM(D18:D19)</f>
        <v>197764140</v>
      </c>
      <c r="E20" s="61">
        <f>SUM(E18:E19)</f>
        <v>197764140</v>
      </c>
    </row>
    <row r="22" spans="1:5" ht="25.5" x14ac:dyDescent="0.2">
      <c r="A22" s="119" t="s">
        <v>362</v>
      </c>
      <c r="B22" s="62">
        <f>+B15-B16</f>
        <v>296646211</v>
      </c>
      <c r="C22" s="62">
        <f>+C15-C16</f>
        <v>296646211</v>
      </c>
      <c r="D22" s="62">
        <f>+D15-D16</f>
        <v>296646211</v>
      </c>
      <c r="E22" s="62">
        <f>+E15-E16</f>
        <v>296646211</v>
      </c>
    </row>
    <row r="24" spans="1:5" x14ac:dyDescent="0.2">
      <c r="A24" t="s">
        <v>17</v>
      </c>
    </row>
    <row r="26" spans="1:5" x14ac:dyDescent="0.2">
      <c r="A26" t="s">
        <v>363</v>
      </c>
      <c r="B26" s="51">
        <f t="shared" ref="B26:E27" si="0">+B4+B11+B18</f>
        <v>372655651</v>
      </c>
      <c r="C26" s="51">
        <f t="shared" si="0"/>
        <v>387554019</v>
      </c>
      <c r="D26" s="51">
        <f t="shared" si="0"/>
        <v>401942900</v>
      </c>
      <c r="E26" s="51">
        <f t="shared" si="0"/>
        <v>417051224</v>
      </c>
    </row>
    <row r="27" spans="1:5" x14ac:dyDescent="0.2">
      <c r="A27" t="s">
        <v>364</v>
      </c>
      <c r="B27" s="51">
        <f t="shared" si="0"/>
        <v>3001021625</v>
      </c>
      <c r="C27" s="51">
        <f t="shared" si="0"/>
        <v>3120208568</v>
      </c>
      <c r="D27" s="51">
        <f t="shared" si="0"/>
        <v>3235319611</v>
      </c>
      <c r="E27" s="51">
        <f t="shared" si="0"/>
        <v>3356186204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Anexo 1.MAO</vt:lpstr>
      <vt:lpstr>Tablas Resumen</vt:lpstr>
      <vt:lpstr>Hoja1</vt:lpstr>
      <vt:lpstr>RESUMEN INVERSION</vt:lpstr>
      <vt:lpstr>PRESUPUESTO PROYECTOS</vt:lpstr>
      <vt:lpstr>RESUMEN INVERSION MILL</vt:lpstr>
      <vt:lpstr>TUA</vt:lpstr>
      <vt:lpstr>TSE</vt:lpstr>
      <vt:lpstr>TASA RETRIBUTIVA</vt:lpstr>
      <vt:lpstr>PRESUPUESTO POR FUENTES</vt:lpstr>
      <vt:lpstr>PRESUPUESTO GLOBAL</vt:lpstr>
      <vt:lpstr>IND. AUTORIZACIONES AMB</vt:lpstr>
      <vt:lpstr>PRUEBA IND-POMCAS</vt:lpstr>
      <vt:lpstr>Res. 667</vt:lpstr>
      <vt:lpstr>'Anexo 1.MAO'!Área_de_impresión</vt:lpstr>
      <vt:lpstr>'PRESUPUESTO PROYECTOS'!Área_de_impresión</vt:lpstr>
      <vt:lpstr>'Anexo 1.MAO'!Títulos_a_imprimir</vt:lpstr>
      <vt:lpstr>'PRESUPUESTO PROYECTOS'!Títulos_a_imprimir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Nathalia M. S.</cp:lastModifiedBy>
  <cp:lastPrinted>2017-02-20T23:32:58Z</cp:lastPrinted>
  <dcterms:created xsi:type="dcterms:W3CDTF">2015-12-14T19:26:58Z</dcterms:created>
  <dcterms:modified xsi:type="dcterms:W3CDTF">2017-07-27T00:00:47Z</dcterms:modified>
</cp:coreProperties>
</file>